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emgill\Box\01 Pre-Award (LTRR)\-- Forms and Templates\Budget\"/>
    </mc:Choice>
  </mc:AlternateContent>
  <xr:revisionPtr revIDLastSave="0" documentId="13_ncr:1_{22C7E1D3-9DBE-422A-BBC6-BBC8A4BD94E4}" xr6:coauthVersionLast="47" xr6:coauthVersionMax="47" xr10:uidLastSave="{00000000-0000-0000-0000-000000000000}"/>
  <bookViews>
    <workbookView xWindow="-120" yWindow="-120" windowWidth="29040" windowHeight="15720" tabRatio="843" xr2:uid="{00000000-000D-0000-FFFF-FFFF00000000}"/>
  </bookViews>
  <sheets>
    <sheet name="Budget Template" sheetId="11" r:id="rId1"/>
    <sheet name="Salary Effort Calculator" sheetId="2" r:id="rId2"/>
    <sheet name="Travel Worksheet" sheetId="4" r:id="rId3"/>
    <sheet name="Grad &amp; PD Pay &amp; Tuition Rates" sheetId="3" r:id="rId4"/>
    <sheet name="Ver. updates" sheetId="5" r:id="rId5"/>
  </sheets>
  <externalReferences>
    <externalReference r:id="rId6"/>
  </externalReferences>
  <definedNames>
    <definedName name="ArizonaChoice">[1]Sheet2!$A$1:$A$4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8" i="11" l="1"/>
  <c r="L78" i="11"/>
  <c r="K78" i="11"/>
  <c r="J78" i="11"/>
  <c r="I78" i="11"/>
  <c r="F24" i="3" l="1"/>
  <c r="E24" i="3"/>
  <c r="D24" i="3"/>
  <c r="C24" i="3"/>
  <c r="B24" i="3"/>
  <c r="B11" i="3"/>
  <c r="C11" i="3"/>
  <c r="F11" i="3"/>
  <c r="E11" i="3"/>
  <c r="D11" i="3"/>
  <c r="B14" i="3"/>
  <c r="B13" i="3"/>
  <c r="C14" i="3"/>
  <c r="C13" i="3"/>
  <c r="F14" i="3"/>
  <c r="F13" i="3"/>
  <c r="E14" i="3"/>
  <c r="E13" i="3"/>
  <c r="D14" i="3"/>
  <c r="D13" i="3"/>
  <c r="G27" i="3"/>
  <c r="F27" i="3" s="1"/>
  <c r="G26" i="3"/>
  <c r="F26" i="3"/>
  <c r="E26" i="3"/>
  <c r="D26" i="3"/>
  <c r="C26" i="3"/>
  <c r="B26" i="3"/>
  <c r="I21" i="3"/>
  <c r="F21" i="3"/>
  <c r="E21" i="3"/>
  <c r="D21" i="3"/>
  <c r="C21" i="3"/>
  <c r="B21" i="3"/>
  <c r="I20" i="3"/>
  <c r="F20" i="3"/>
  <c r="E20" i="3"/>
  <c r="D20" i="3"/>
  <c r="C20" i="3"/>
  <c r="B20" i="3"/>
  <c r="G14" i="3"/>
  <c r="G13" i="3"/>
  <c r="I8" i="3"/>
  <c r="F8" i="3"/>
  <c r="E8" i="3"/>
  <c r="D8" i="3"/>
  <c r="C8" i="3"/>
  <c r="B8" i="3"/>
  <c r="I7" i="3"/>
  <c r="F7" i="3"/>
  <c r="E7" i="3"/>
  <c r="D7" i="3"/>
  <c r="C7" i="3"/>
  <c r="B7" i="3"/>
  <c r="B27" i="3" l="1"/>
  <c r="C27" i="3"/>
  <c r="D27" i="3"/>
  <c r="E27" i="3"/>
  <c r="B32" i="3"/>
  <c r="I5" i="11"/>
  <c r="A5" i="11" s="1"/>
  <c r="O5" i="11"/>
  <c r="O6" i="11" s="1"/>
  <c r="N78" i="11" l="1"/>
  <c r="G15" i="2"/>
  <c r="J25" i="11"/>
  <c r="J45" i="11" s="1"/>
  <c r="I25" i="11"/>
  <c r="I45" i="11" s="1"/>
  <c r="J24" i="11"/>
  <c r="J44" i="11" s="1"/>
  <c r="I24" i="11"/>
  <c r="I44" i="11" s="1"/>
  <c r="M23" i="11"/>
  <c r="M43" i="11" s="1"/>
  <c r="L23" i="11"/>
  <c r="L43" i="11" s="1"/>
  <c r="K23" i="11"/>
  <c r="K43" i="11" s="1"/>
  <c r="J23" i="11"/>
  <c r="J43" i="11" s="1"/>
  <c r="I23" i="11"/>
  <c r="I43" i="11" s="1"/>
  <c r="J22" i="11"/>
  <c r="J42" i="11" s="1"/>
  <c r="I22" i="11"/>
  <c r="I42" i="11" s="1"/>
  <c r="J19" i="11"/>
  <c r="J39" i="11" s="1"/>
  <c r="I19" i="11"/>
  <c r="I39" i="11" s="1"/>
  <c r="J17" i="11"/>
  <c r="J37" i="11" s="1"/>
  <c r="I17" i="11"/>
  <c r="I37" i="11" s="1"/>
  <c r="J18" i="11"/>
  <c r="J38" i="11" s="1"/>
  <c r="I18" i="11"/>
  <c r="I38" i="11" s="1"/>
  <c r="J16" i="11"/>
  <c r="J36" i="11" s="1"/>
  <c r="I16" i="11"/>
  <c r="I36" i="11" s="1"/>
  <c r="J15" i="11"/>
  <c r="J35" i="11" s="1"/>
  <c r="I15" i="11"/>
  <c r="I35" i="11" s="1"/>
  <c r="M13" i="11"/>
  <c r="M33" i="11" s="1"/>
  <c r="L13" i="11"/>
  <c r="L33" i="11" s="1"/>
  <c r="K13" i="11"/>
  <c r="K33" i="11" s="1"/>
  <c r="J13" i="11"/>
  <c r="J33" i="11" s="1"/>
  <c r="I13" i="11"/>
  <c r="I33" i="11" s="1"/>
  <c r="M12" i="11"/>
  <c r="M32" i="11" s="1"/>
  <c r="L12" i="11"/>
  <c r="L32" i="11" s="1"/>
  <c r="K12" i="11"/>
  <c r="K32" i="11" s="1"/>
  <c r="J12" i="11"/>
  <c r="J32" i="11" s="1"/>
  <c r="I12" i="11"/>
  <c r="I32" i="11" s="1"/>
  <c r="N33" i="11" l="1"/>
  <c r="N43" i="11"/>
  <c r="N32" i="11"/>
  <c r="N12" i="11"/>
  <c r="N13" i="11"/>
  <c r="N23" i="11"/>
  <c r="B33" i="3"/>
  <c r="C33" i="3" s="1"/>
  <c r="D33" i="3" s="1"/>
  <c r="I11" i="11"/>
  <c r="I31" i="11" s="1"/>
  <c r="I10" i="11"/>
  <c r="I30" i="11" s="1"/>
  <c r="L79" i="4"/>
  <c r="M79" i="4"/>
  <c r="L78" i="4"/>
  <c r="M78" i="4"/>
  <c r="L77" i="4"/>
  <c r="M77" i="4"/>
  <c r="L76" i="4"/>
  <c r="M76" i="4"/>
  <c r="L75" i="4"/>
  <c r="M75" i="4"/>
  <c r="L74" i="4"/>
  <c r="M74" i="4"/>
  <c r="L73" i="4"/>
  <c r="M73" i="4"/>
  <c r="L63" i="4"/>
  <c r="M63" i="4"/>
  <c r="L62" i="4"/>
  <c r="M62" i="4"/>
  <c r="L61" i="4"/>
  <c r="M61" i="4"/>
  <c r="L60" i="4"/>
  <c r="M60" i="4"/>
  <c r="L59" i="4"/>
  <c r="M59" i="4"/>
  <c r="L58" i="4"/>
  <c r="M58" i="4"/>
  <c r="L57" i="4"/>
  <c r="M57" i="4"/>
  <c r="L47" i="4"/>
  <c r="M47" i="4"/>
  <c r="L46" i="4"/>
  <c r="M46" i="4"/>
  <c r="L45" i="4"/>
  <c r="M45" i="4"/>
  <c r="L44" i="4"/>
  <c r="M44" i="4"/>
  <c r="L43" i="4"/>
  <c r="M43" i="4"/>
  <c r="L42" i="4"/>
  <c r="M42" i="4"/>
  <c r="L41" i="4"/>
  <c r="M41" i="4"/>
  <c r="L31" i="4"/>
  <c r="M31" i="4"/>
  <c r="L30" i="4"/>
  <c r="M30" i="4"/>
  <c r="L29" i="4"/>
  <c r="M29" i="4"/>
  <c r="L28" i="4"/>
  <c r="M28" i="4"/>
  <c r="L27" i="4"/>
  <c r="M27" i="4"/>
  <c r="L26" i="4"/>
  <c r="M26" i="4"/>
  <c r="L25" i="4"/>
  <c r="M25" i="4"/>
  <c r="L12" i="4"/>
  <c r="M12" i="4"/>
  <c r="L11" i="4"/>
  <c r="M11" i="4"/>
  <c r="D79" i="4"/>
  <c r="E79" i="4"/>
  <c r="D78" i="4"/>
  <c r="E78" i="4"/>
  <c r="D77" i="4"/>
  <c r="E77" i="4"/>
  <c r="D76" i="4"/>
  <c r="E76" i="4"/>
  <c r="D75" i="4"/>
  <c r="E75" i="4"/>
  <c r="D74" i="4"/>
  <c r="E74" i="4"/>
  <c r="D73" i="4"/>
  <c r="E73" i="4"/>
  <c r="D63" i="4"/>
  <c r="E63" i="4"/>
  <c r="D62" i="4"/>
  <c r="E62" i="4"/>
  <c r="D61" i="4"/>
  <c r="E61" i="4"/>
  <c r="D60" i="4"/>
  <c r="E60" i="4"/>
  <c r="D59" i="4"/>
  <c r="E59" i="4"/>
  <c r="D58" i="4"/>
  <c r="E58" i="4"/>
  <c r="D57" i="4"/>
  <c r="E57" i="4"/>
  <c r="D47" i="4"/>
  <c r="E47" i="4"/>
  <c r="D46" i="4"/>
  <c r="E46" i="4"/>
  <c r="D45" i="4"/>
  <c r="E45" i="4"/>
  <c r="D44" i="4"/>
  <c r="E44" i="4"/>
  <c r="D43" i="4"/>
  <c r="E43" i="4"/>
  <c r="D42" i="4"/>
  <c r="E42" i="4"/>
  <c r="D41" i="4"/>
  <c r="E41" i="4"/>
  <c r="D31" i="4"/>
  <c r="E31" i="4"/>
  <c r="D30" i="4"/>
  <c r="E30" i="4"/>
  <c r="D29" i="4"/>
  <c r="E29" i="4"/>
  <c r="D28" i="4"/>
  <c r="E28" i="4"/>
  <c r="D27" i="4"/>
  <c r="E27" i="4"/>
  <c r="D26" i="4"/>
  <c r="E26" i="4"/>
  <c r="D25" i="4"/>
  <c r="E25" i="4"/>
  <c r="D15" i="4"/>
  <c r="E15" i="4"/>
  <c r="D14" i="4"/>
  <c r="E14" i="4"/>
  <c r="D13" i="4"/>
  <c r="E13" i="4"/>
  <c r="D12" i="4"/>
  <c r="E12" i="4"/>
  <c r="D11" i="4"/>
  <c r="E11" i="4"/>
  <c r="D10" i="4"/>
  <c r="E10" i="4"/>
  <c r="D9" i="4"/>
  <c r="I21" i="11"/>
  <c r="I41" i="11" s="1"/>
  <c r="I20" i="11"/>
  <c r="I40" i="11" s="1"/>
  <c r="I14" i="11"/>
  <c r="I34" i="11" s="1"/>
  <c r="I82" i="11"/>
  <c r="J20" i="11"/>
  <c r="J40" i="11" s="1"/>
  <c r="J14" i="11"/>
  <c r="J34" i="11" s="1"/>
  <c r="J10" i="11"/>
  <c r="J30" i="11" s="1"/>
  <c r="J82" i="11"/>
  <c r="K10" i="11"/>
  <c r="K82" i="11"/>
  <c r="L10" i="11"/>
  <c r="L82" i="11"/>
  <c r="M10" i="11"/>
  <c r="M82" i="11"/>
  <c r="N97" i="11"/>
  <c r="M67" i="11"/>
  <c r="M53" i="11"/>
  <c r="M11" i="11"/>
  <c r="M31" i="11" s="1"/>
  <c r="M7" i="11"/>
  <c r="L67" i="11"/>
  <c r="L53" i="11"/>
  <c r="L11" i="11"/>
  <c r="L31" i="11" s="1"/>
  <c r="L7" i="11"/>
  <c r="K67" i="11"/>
  <c r="K53" i="11"/>
  <c r="K11" i="11"/>
  <c r="K31" i="11" s="1"/>
  <c r="K7" i="11"/>
  <c r="J67" i="11"/>
  <c r="J53" i="11"/>
  <c r="J11" i="11"/>
  <c r="J31" i="11" s="1"/>
  <c r="I67" i="11"/>
  <c r="I53" i="11"/>
  <c r="L9" i="4"/>
  <c r="M9" i="4"/>
  <c r="L10" i="4"/>
  <c r="M10" i="4"/>
  <c r="L13" i="4"/>
  <c r="M13" i="4"/>
  <c r="L14" i="4"/>
  <c r="M14" i="4"/>
  <c r="L15" i="4"/>
  <c r="M15" i="4"/>
  <c r="A9" i="2"/>
  <c r="N80" i="11"/>
  <c r="N79" i="11"/>
  <c r="N76" i="11"/>
  <c r="N75" i="11"/>
  <c r="N74" i="11"/>
  <c r="N73" i="11"/>
  <c r="N72" i="11"/>
  <c r="N71" i="11"/>
  <c r="N70" i="11"/>
  <c r="N65" i="11"/>
  <c r="N64" i="11"/>
  <c r="N63" i="11"/>
  <c r="N62" i="11"/>
  <c r="N51" i="11"/>
  <c r="B52" i="3"/>
  <c r="B47" i="3"/>
  <c r="B53" i="3" s="1"/>
  <c r="I11" i="2"/>
  <c r="B35" i="3"/>
  <c r="C35" i="3" s="1"/>
  <c r="D35" i="3" s="1"/>
  <c r="B34" i="3"/>
  <c r="C34" i="3" s="1"/>
  <c r="D34" i="3" s="1"/>
  <c r="C32" i="3"/>
  <c r="D32" i="3" s="1"/>
  <c r="E24" i="2"/>
  <c r="E21" i="2"/>
  <c r="C24" i="2"/>
  <c r="C21" i="2"/>
  <c r="A24" i="2"/>
  <c r="A18" i="2"/>
  <c r="A21" i="2"/>
  <c r="E15" i="2"/>
  <c r="C15" i="2"/>
  <c r="A15" i="2"/>
  <c r="E12" i="2"/>
  <c r="C12" i="2"/>
  <c r="A12" i="2"/>
  <c r="E9" i="2"/>
  <c r="C9" i="2"/>
  <c r="C31" i="3"/>
  <c r="D31" i="3" s="1"/>
  <c r="G12" i="2"/>
  <c r="N7" i="3"/>
  <c r="M7" i="3"/>
  <c r="O7" i="3"/>
  <c r="P7" i="3"/>
  <c r="Q7" i="3"/>
  <c r="R7" i="3"/>
  <c r="S7" i="3"/>
  <c r="L7" i="3"/>
  <c r="G18" i="2"/>
  <c r="G9" i="2"/>
  <c r="E18" i="2"/>
  <c r="C18" i="2"/>
  <c r="L64" i="4"/>
  <c r="D16" i="4"/>
  <c r="E9" i="4"/>
  <c r="E16" i="4"/>
  <c r="E17" i="4"/>
  <c r="E83" i="4"/>
  <c r="D64" i="4"/>
  <c r="E80" i="4"/>
  <c r="E81" i="4"/>
  <c r="E87" i="4"/>
  <c r="M56" i="11"/>
  <c r="D48" i="4"/>
  <c r="M48" i="4"/>
  <c r="M49" i="4"/>
  <c r="M85" i="4"/>
  <c r="K57" i="11"/>
  <c r="L32" i="4"/>
  <c r="D32" i="4"/>
  <c r="L80" i="4"/>
  <c r="D80" i="4"/>
  <c r="E64" i="4"/>
  <c r="E65" i="4"/>
  <c r="E86" i="4"/>
  <c r="L56" i="11"/>
  <c r="M64" i="4"/>
  <c r="M65" i="4"/>
  <c r="M86" i="4"/>
  <c r="L57" i="11"/>
  <c r="M80" i="4"/>
  <c r="M81" i="4"/>
  <c r="M87" i="4"/>
  <c r="M57" i="11"/>
  <c r="E32" i="4"/>
  <c r="E33" i="4"/>
  <c r="E84" i="4"/>
  <c r="J56" i="11"/>
  <c r="M16" i="4"/>
  <c r="M17" i="4"/>
  <c r="M83" i="4"/>
  <c r="M32" i="4"/>
  <c r="M33" i="4"/>
  <c r="M84" i="4"/>
  <c r="J57" i="11"/>
  <c r="E48" i="4"/>
  <c r="E49" i="4"/>
  <c r="E85" i="4"/>
  <c r="K56" i="11"/>
  <c r="L16" i="4"/>
  <c r="L48" i="4"/>
  <c r="M21" i="11"/>
  <c r="M41" i="11" s="1"/>
  <c r="K21" i="11"/>
  <c r="K41" i="11" s="1"/>
  <c r="L21" i="11"/>
  <c r="L41" i="11" s="1"/>
  <c r="J21" i="11"/>
  <c r="J41" i="11" s="1"/>
  <c r="I56" i="11"/>
  <c r="E89" i="4"/>
  <c r="I57" i="11"/>
  <c r="M89" i="4"/>
  <c r="N41" i="11" l="1"/>
  <c r="J47" i="11"/>
  <c r="N31" i="11"/>
  <c r="I47" i="11"/>
  <c r="B48" i="3"/>
  <c r="N11" i="11"/>
  <c r="K30" i="11"/>
  <c r="L16" i="11"/>
  <c r="L36" i="11" s="1"/>
  <c r="L19" i="11"/>
  <c r="L39" i="11" s="1"/>
  <c r="L24" i="11"/>
  <c r="L44" i="11" s="1"/>
  <c r="L22" i="11"/>
  <c r="L42" i="11" s="1"/>
  <c r="L18" i="11"/>
  <c r="L38" i="11" s="1"/>
  <c r="L25" i="11"/>
  <c r="L45" i="11" s="1"/>
  <c r="L15" i="11"/>
  <c r="L35" i="11" s="1"/>
  <c r="L17" i="11"/>
  <c r="L37" i="11" s="1"/>
  <c r="J27" i="11"/>
  <c r="M30" i="11"/>
  <c r="N21" i="11"/>
  <c r="K20" i="11"/>
  <c r="K40" i="11" s="1"/>
  <c r="K17" i="11"/>
  <c r="K37" i="11" s="1"/>
  <c r="K16" i="11"/>
  <c r="K36" i="11" s="1"/>
  <c r="K19" i="11"/>
  <c r="K39" i="11" s="1"/>
  <c r="K24" i="11"/>
  <c r="K44" i="11" s="1"/>
  <c r="K18" i="11"/>
  <c r="K38" i="11" s="1"/>
  <c r="K22" i="11"/>
  <c r="K42" i="11" s="1"/>
  <c r="K25" i="11"/>
  <c r="K45" i="11" s="1"/>
  <c r="K15" i="11"/>
  <c r="K35" i="11" s="1"/>
  <c r="M16" i="11"/>
  <c r="M36" i="11" s="1"/>
  <c r="M19" i="11"/>
  <c r="M39" i="11" s="1"/>
  <c r="M24" i="11"/>
  <c r="M44" i="11" s="1"/>
  <c r="M15" i="11"/>
  <c r="M35" i="11" s="1"/>
  <c r="M18" i="11"/>
  <c r="M38" i="11" s="1"/>
  <c r="M22" i="11"/>
  <c r="M42" i="11" s="1"/>
  <c r="M17" i="11"/>
  <c r="M37" i="11" s="1"/>
  <c r="M25" i="11"/>
  <c r="M45" i="11" s="1"/>
  <c r="I27" i="11"/>
  <c r="N10" i="11"/>
  <c r="M59" i="11"/>
  <c r="I59" i="11"/>
  <c r="K59" i="11"/>
  <c r="J59" i="11"/>
  <c r="K14" i="11"/>
  <c r="K34" i="11" s="1"/>
  <c r="N57" i="11"/>
  <c r="L59" i="11"/>
  <c r="N53" i="11"/>
  <c r="N67" i="11"/>
  <c r="M14" i="11"/>
  <c r="M34" i="11" s="1"/>
  <c r="N82" i="11"/>
  <c r="M20" i="11"/>
  <c r="M40" i="11" s="1"/>
  <c r="L14" i="11"/>
  <c r="L34" i="11" s="1"/>
  <c r="N56" i="11"/>
  <c r="L30" i="11"/>
  <c r="L20" i="11"/>
  <c r="L40" i="11" s="1"/>
  <c r="B54" i="3"/>
  <c r="N44" i="11" l="1"/>
  <c r="N30" i="11"/>
  <c r="N36" i="11"/>
  <c r="N34" i="11"/>
  <c r="N40" i="11"/>
  <c r="N37" i="11"/>
  <c r="N45" i="11"/>
  <c r="N38" i="11"/>
  <c r="N42" i="11"/>
  <c r="N39" i="11"/>
  <c r="L47" i="11"/>
  <c r="N35" i="11"/>
  <c r="K47" i="11"/>
  <c r="M47" i="11"/>
  <c r="N17" i="11"/>
  <c r="N15" i="11"/>
  <c r="N20" i="11"/>
  <c r="L27" i="11"/>
  <c r="N25" i="11"/>
  <c r="N22" i="11"/>
  <c r="N14" i="11"/>
  <c r="N18" i="11"/>
  <c r="M27" i="11"/>
  <c r="K27" i="11"/>
  <c r="N24" i="11"/>
  <c r="N19" i="11"/>
  <c r="N16" i="11"/>
  <c r="N59" i="11"/>
  <c r="J84" i="11"/>
  <c r="J86" i="11" s="1"/>
  <c r="J90" i="11" l="1"/>
  <c r="J91" i="11"/>
  <c r="J49" i="11"/>
  <c r="N27" i="11"/>
  <c r="M84" i="11"/>
  <c r="M49" i="11"/>
  <c r="L84" i="11"/>
  <c r="I49" i="11"/>
  <c r="I84" i="11"/>
  <c r="I86" i="11" s="1"/>
  <c r="I91" i="11" s="1"/>
  <c r="L86" i="11" l="1"/>
  <c r="L91" i="11" s="1"/>
  <c r="L92" i="11" s="1"/>
  <c r="L94" i="11" s="1"/>
  <c r="M86" i="11"/>
  <c r="M91" i="11" s="1"/>
  <c r="M92" i="11" s="1"/>
  <c r="M94" i="11" s="1"/>
  <c r="J92" i="11"/>
  <c r="J94" i="11" s="1"/>
  <c r="J98" i="11" s="1"/>
  <c r="I90" i="11"/>
  <c r="N90" i="11" s="1"/>
  <c r="I89" i="11"/>
  <c r="K84" i="11"/>
  <c r="K49" i="11"/>
  <c r="N47" i="11"/>
  <c r="N49" i="11" s="1"/>
  <c r="L49" i="11"/>
  <c r="K86" i="11" l="1"/>
  <c r="N86" i="11" s="1"/>
  <c r="I92" i="11"/>
  <c r="N89" i="11"/>
  <c r="M98" i="11"/>
  <c r="L98" i="11"/>
  <c r="N84" i="11"/>
  <c r="K91" i="11" l="1"/>
  <c r="I94" i="11"/>
  <c r="K92" i="11" l="1"/>
  <c r="N91" i="11"/>
  <c r="I98" i="11"/>
  <c r="K94" i="11" l="1"/>
  <c r="N92" i="11"/>
  <c r="K98" i="11" l="1"/>
  <c r="N94" i="11"/>
  <c r="N98" i="11" s="1"/>
</calcChain>
</file>

<file path=xl/sharedStrings.xml><?xml version="1.0" encoding="utf-8"?>
<sst xmlns="http://schemas.openxmlformats.org/spreadsheetml/2006/main" count="523" uniqueCount="247">
  <si>
    <t>Research Proposal Budget Template</t>
  </si>
  <si>
    <t xml:space="preserve">Proposed budget for: </t>
  </si>
  <si>
    <t>PROPOSAL TITLE:</t>
  </si>
  <si>
    <t>PI:</t>
  </si>
  <si>
    <t>Year 1</t>
  </si>
  <si>
    <t>Year 2</t>
  </si>
  <si>
    <t>Year 3</t>
  </si>
  <si>
    <t>Year 4</t>
  </si>
  <si>
    <t>Year 5</t>
  </si>
  <si>
    <t xml:space="preserve">PI: </t>
  </si>
  <si>
    <t xml:space="preserve">Co-PI: </t>
  </si>
  <si>
    <t>Graduate Student AY</t>
  </si>
  <si>
    <t>Graduate Student Summer</t>
  </si>
  <si>
    <t>Undergrad</t>
  </si>
  <si>
    <t>Senior Personnel/Wages Subtotal</t>
  </si>
  <si>
    <t>C. Fringe Benefits</t>
  </si>
  <si>
    <t>ERE Rate</t>
  </si>
  <si>
    <t>Post-Doc</t>
  </si>
  <si>
    <t>Staff</t>
  </si>
  <si>
    <t>Fringe Benefits Subtotal</t>
  </si>
  <si>
    <t>Total Salaries, Wages and Fringe Benefits</t>
  </si>
  <si>
    <t>D. Capital Equipment</t>
  </si>
  <si>
    <t>Capital Equipment Subtotal</t>
  </si>
  <si>
    <t>Domestic</t>
  </si>
  <si>
    <t>Foreign</t>
  </si>
  <si>
    <t>Travel Subtotal</t>
  </si>
  <si>
    <t>F. Participant Support</t>
  </si>
  <si>
    <t>Stipends</t>
  </si>
  <si>
    <t>Travel</t>
  </si>
  <si>
    <t>Subsistence</t>
  </si>
  <si>
    <t>Other</t>
  </si>
  <si>
    <t>Participant Support Subtotal</t>
  </si>
  <si>
    <t>G. Other Direct Costs</t>
  </si>
  <si>
    <t>Materials and Supplies</t>
  </si>
  <si>
    <t>Publication Costs</t>
  </si>
  <si>
    <t>Consultant Services</t>
  </si>
  <si>
    <t>Computer Services</t>
  </si>
  <si>
    <t>Subawards</t>
  </si>
  <si>
    <t>OTHER</t>
  </si>
  <si>
    <t>Analysis</t>
  </si>
  <si>
    <t>Other Direct Costs Subtotal</t>
  </si>
  <si>
    <t>H. Total Direct Costs:</t>
  </si>
  <si>
    <t>Base MTDC ( less tuition, capital equip., participant support )</t>
  </si>
  <si>
    <t>J., L. Total Request (total direct costs + indirect costs):</t>
  </si>
  <si>
    <t xml:space="preserve">Instructions:  Enter the annual salary for each faculty member funded on this project in the highlighted yellow row (row 6).  The salary total will autopopulate in each subsequent row.  Enter the calculated salary amount that corresponds to your desired time/effort  into the budget template. </t>
  </si>
  <si>
    <t xml:space="preserve">Faculty </t>
  </si>
  <si>
    <t>% Effort - Summer</t>
  </si>
  <si>
    <t>%Effort - Fiscal</t>
  </si>
  <si>
    <t>Academic Salary (9 mo.)</t>
  </si>
  <si>
    <t>Fiscal Salary (12 mo.)</t>
  </si>
  <si>
    <t>Summer Salary (3 mo.)</t>
  </si>
  <si>
    <t>6 Months</t>
  </si>
  <si>
    <t>Summer Salary (2 mo.)</t>
  </si>
  <si>
    <t>Monthly</t>
  </si>
  <si>
    <t>Summer Salary (1 mo.)</t>
  </si>
  <si>
    <t>Bi-Weekly Salary</t>
  </si>
  <si>
    <t>Summer Salary (.75 mo.)</t>
  </si>
  <si>
    <t xml:space="preserve">Weekly Salary </t>
  </si>
  <si>
    <t>Summer Salary (.5 mo.)</t>
  </si>
  <si>
    <t>Summer Salary (.25 mo.)</t>
  </si>
  <si>
    <t xml:space="preserve">Year 1 </t>
  </si>
  <si>
    <t># of travelers</t>
  </si>
  <si>
    <t>Summer</t>
  </si>
  <si>
    <t>Hrs.</t>
  </si>
  <si>
    <t>Full Time</t>
  </si>
  <si>
    <t>3/4 Time</t>
  </si>
  <si>
    <t>Half Time</t>
  </si>
  <si>
    <t>Qtr Time</t>
  </si>
  <si>
    <t>Three States of Pay available for Grad Assistant/Associates:</t>
  </si>
  <si>
    <t>MS = Masters Student</t>
  </si>
  <si>
    <r>
      <t xml:space="preserve">PhD I = Students who have </t>
    </r>
    <r>
      <rPr>
        <b/>
        <sz val="10"/>
        <color indexed="8"/>
        <rFont val="Calibri"/>
        <family val="2"/>
      </rPr>
      <t>NOT</t>
    </r>
    <r>
      <rPr>
        <sz val="10"/>
        <color indexed="8"/>
        <rFont val="Calibri"/>
        <family val="2"/>
      </rPr>
      <t xml:space="preserve"> yet passed the comprehensive exam.</t>
    </r>
  </si>
  <si>
    <t>PhD II =  Students who have passed the comprehensive exam.</t>
  </si>
  <si>
    <r>
      <rPr>
        <sz val="16"/>
        <color indexed="10"/>
        <rFont val="Calibri"/>
        <family val="2"/>
      </rPr>
      <t>UA-</t>
    </r>
    <r>
      <rPr>
        <sz val="16"/>
        <color indexed="8"/>
        <rFont val="Calibri"/>
        <family val="2"/>
      </rPr>
      <t>Tuition and fees should be budgeted in the "Other" category</t>
    </r>
  </si>
  <si>
    <t>.50 FTE</t>
  </si>
  <si>
    <t xml:space="preserve">Fall </t>
  </si>
  <si>
    <t xml:space="preserve">Escalate tuition </t>
  </si>
  <si>
    <t>Spring</t>
  </si>
  <si>
    <t>at 8% per year</t>
  </si>
  <si>
    <t>Total</t>
  </si>
  <si>
    <t>&lt; .50 FTE</t>
  </si>
  <si>
    <t>Budget Justification Example:</t>
  </si>
  <si>
    <t>Tuition for the graduate student is included as a mandatory benefit</t>
  </si>
  <si>
    <t>and is charged in proportion to the amount of effort the graduate</t>
  </si>
  <si>
    <t>student will work on the project.</t>
  </si>
  <si>
    <t>Unit Cost</t>
  </si>
  <si>
    <r>
      <rPr>
        <sz val="16"/>
        <color indexed="10"/>
        <rFont val="Calibri"/>
        <family val="2"/>
      </rPr>
      <t>UA-</t>
    </r>
    <r>
      <rPr>
        <sz val="16"/>
        <color indexed="8"/>
        <rFont val="Calibri"/>
        <family val="2"/>
      </rPr>
      <t>Recommended TBD Postdoc Salary Amounts (follows NRSA)</t>
    </r>
  </si>
  <si>
    <t>Years of Experience</t>
  </si>
  <si>
    <t>Stipend</t>
  </si>
  <si>
    <t>Monthly Stipend</t>
  </si>
  <si>
    <t>A&amp;B. Senior Personnel/Other Personnel*</t>
  </si>
  <si>
    <t>*Apply 3% inflation in out years whenever allowed by the sponsor</t>
  </si>
  <si>
    <t>Conference Registration Fees</t>
  </si>
  <si>
    <t>Y1</t>
  </si>
  <si>
    <t>Y2</t>
  </si>
  <si>
    <t>Y3</t>
  </si>
  <si>
    <t>Y4</t>
  </si>
  <si>
    <t>Y5</t>
  </si>
  <si>
    <t>pm</t>
  </si>
  <si>
    <t>* Equiv to 35 hours/week</t>
  </si>
  <si>
    <t>% eff</t>
  </si>
  <si>
    <t>Minimum wages</t>
  </si>
  <si>
    <t>Type</t>
  </si>
  <si>
    <t>wage</t>
  </si>
  <si>
    <t>effective date</t>
  </si>
  <si>
    <t>Arizona</t>
  </si>
  <si>
    <t>UAZ-student workers</t>
  </si>
  <si>
    <t>UAZ-staff</t>
  </si>
  <si>
    <t>Wage:</t>
  </si>
  <si>
    <t>Number of hours:</t>
  </si>
  <si>
    <t>Wages Calculator</t>
  </si>
  <si>
    <t>tuition calculator: https://tuitioncalculator.fso.arizona.edu/#/</t>
  </si>
  <si>
    <t>Date</t>
  </si>
  <si>
    <t>Description of update</t>
  </si>
  <si>
    <t>Basis for Estimating Costs</t>
  </si>
  <si>
    <t>Purpose of Trip</t>
  </si>
  <si>
    <t>Airline Baggage Fees</t>
  </si>
  <si>
    <t>Sky Harbor Airport Parking</t>
  </si>
  <si>
    <t>TIA Airport Parking</t>
  </si>
  <si>
    <t>FOREIGN TRAVEL:</t>
  </si>
  <si>
    <t>DOMESTIC TRAVEL:</t>
  </si>
  <si>
    <t>Cost Basis Information</t>
  </si>
  <si>
    <t>Notes</t>
  </si>
  <si>
    <t>Graduate Student Acad</t>
  </si>
  <si>
    <t>Base Salary/Rate</t>
  </si>
  <si>
    <t>Origin and Destination</t>
  </si>
  <si>
    <r>
      <t># Days</t>
    </r>
    <r>
      <rPr>
        <sz val="10"/>
        <rFont val="Arial"/>
        <family val="2"/>
      </rPr>
      <t xml:space="preserve"> (numerical only)</t>
    </r>
  </si>
  <si>
    <t xml:space="preserve">Tucson, AZ to </t>
  </si>
  <si>
    <r>
      <t xml:space="preserve"># of Trips </t>
    </r>
    <r>
      <rPr>
        <sz val="10"/>
        <rFont val="Arial"/>
        <family val="2"/>
      </rPr>
      <t>(numerical only)</t>
    </r>
  </si>
  <si>
    <r>
      <rPr>
        <b/>
        <sz val="10"/>
        <rFont val="Arial"/>
        <family val="2"/>
      </rPr>
      <t>Airfare</t>
    </r>
    <r>
      <rPr>
        <sz val="10"/>
        <rFont val="Arial"/>
        <family val="2"/>
      </rPr>
      <t xml:space="preserve"> (Roundtrip)</t>
    </r>
  </si>
  <si>
    <r>
      <rPr>
        <b/>
        <sz val="10"/>
        <rFont val="Arial"/>
        <family val="2"/>
      </rPr>
      <t>Parking</t>
    </r>
    <r>
      <rPr>
        <sz val="10"/>
        <rFont val="Arial"/>
        <family val="2"/>
      </rPr>
      <t xml:space="preserve"> (Daily)</t>
    </r>
  </si>
  <si>
    <r>
      <rPr>
        <b/>
        <sz val="10"/>
        <rFont val="Arial"/>
        <family val="2"/>
      </rPr>
      <t>Lodging</t>
    </r>
    <r>
      <rPr>
        <sz val="10"/>
        <rFont val="Arial"/>
        <family val="2"/>
      </rPr>
      <t xml:space="preserve"> (Daily)</t>
    </r>
  </si>
  <si>
    <r>
      <rPr>
        <b/>
        <sz val="10"/>
        <rFont val="Arial"/>
        <family val="2"/>
      </rPr>
      <t>Per Diem / M&amp;I</t>
    </r>
    <r>
      <rPr>
        <sz val="10"/>
        <rFont val="Arial"/>
        <family val="2"/>
      </rPr>
      <t xml:space="preserve"> (Daily)</t>
    </r>
  </si>
  <si>
    <t>Total per traveler</t>
  </si>
  <si>
    <t>click here for travel cost basis resources</t>
  </si>
  <si>
    <t>Total Domestic Travel</t>
  </si>
  <si>
    <r>
      <rPr>
        <b/>
        <sz val="10"/>
        <rFont val="Arial"/>
        <family val="2"/>
      </rPr>
      <t>Baggage Fees</t>
    </r>
    <r>
      <rPr>
        <sz val="10"/>
        <rFont val="Arial"/>
        <family val="2"/>
      </rPr>
      <t xml:space="preserve"> (Roundtrip)</t>
    </r>
  </si>
  <si>
    <t>Total Foreign Travel</t>
  </si>
  <si>
    <t>Is it Travel? Click here for tips.</t>
  </si>
  <si>
    <t>non-employee travel</t>
  </si>
  <si>
    <t>Description</t>
  </si>
  <si>
    <t>Cost Category</t>
  </si>
  <si>
    <t>Other Direct Costs</t>
  </si>
  <si>
    <t>conference registration fees</t>
  </si>
  <si>
    <t>Common costs that are not budgeted on this tab</t>
  </si>
  <si>
    <t>consultant travel</t>
  </si>
  <si>
    <t>Other Direct Costs - Consultant Services</t>
  </si>
  <si>
    <t>Other Helpful Links</t>
  </si>
  <si>
    <t>UAz Travel Website</t>
  </si>
  <si>
    <t>UAz Geosciences Travel Website</t>
  </si>
  <si>
    <t>Per Diem and Lodging Rates</t>
  </si>
  <si>
    <t>Foreign Per Diem and Lodging Rates</t>
  </si>
  <si>
    <t>Airfare</t>
  </si>
  <si>
    <t>Rental Car Rates</t>
  </si>
  <si>
    <t>Personal Vehicle</t>
  </si>
  <si>
    <t>Per Diem and Lodging Rates for Alaska, Hawaii, and the US Territories</t>
  </si>
  <si>
    <t>UAz International Travel Insurance</t>
  </si>
  <si>
    <t>Smart Traveler Enrollment Program (STEP)</t>
  </si>
  <si>
    <t>Emergency Procedures When Traveling Abroad</t>
  </si>
  <si>
    <t>field equipment</t>
  </si>
  <si>
    <t>in-country guide and/or driver</t>
  </si>
  <si>
    <t>Name</t>
  </si>
  <si>
    <t>Effort</t>
  </si>
  <si>
    <t>AY</t>
  </si>
  <si>
    <t>Post Doc:</t>
  </si>
  <si>
    <t>Staff:</t>
  </si>
  <si>
    <t>participant travel</t>
  </si>
  <si>
    <t>Participant Support Costs</t>
  </si>
  <si>
    <t>Subawards-OH (first $25K)</t>
  </si>
  <si>
    <t>Subawards Non-OH (costs&gt;$25K)</t>
  </si>
  <si>
    <t>Max/Target Budget</t>
  </si>
  <si>
    <r>
      <t>Under/</t>
    </r>
    <r>
      <rPr>
        <b/>
        <sz val="10"/>
        <color rgb="FFFF0000"/>
        <rFont val="Arial"/>
        <family val="2"/>
      </rPr>
      <t>(Over)</t>
    </r>
  </si>
  <si>
    <t>back to top</t>
  </si>
  <si>
    <t>CAL</t>
  </si>
  <si>
    <t>Student worker AY cap is 25 hrs/week; summer cap is 35 hrs/week</t>
  </si>
  <si>
    <t>UA Motorpool</t>
  </si>
  <si>
    <r>
      <rPr>
        <b/>
        <sz val="10"/>
        <rFont val="Arial"/>
        <family val="2"/>
      </rPr>
      <t>Airport Shuttle/Cab</t>
    </r>
    <r>
      <rPr>
        <sz val="10"/>
        <rFont val="Arial"/>
        <family val="2"/>
      </rPr>
      <t xml:space="preserve"> (Roundtrip)</t>
    </r>
  </si>
  <si>
    <r>
      <rPr>
        <b/>
        <sz val="10"/>
        <rFont val="Arial"/>
        <family val="2"/>
      </rPr>
      <t>Car/Truck Rental</t>
    </r>
    <r>
      <rPr>
        <sz val="10"/>
        <rFont val="Arial"/>
        <family val="2"/>
      </rPr>
      <t xml:space="preserve"> (Daily)</t>
    </r>
  </si>
  <si>
    <t>Tucson, AZ to</t>
  </si>
  <si>
    <t>Blue-shaded cells are calculated</t>
  </si>
  <si>
    <t xml:space="preserve">Total Per Trip  </t>
  </si>
  <si>
    <t xml:space="preserve">Total Travel  </t>
  </si>
  <si>
    <t>E. Travel</t>
  </si>
  <si>
    <t>Enter cost data on Travel Worksheet</t>
  </si>
  <si>
    <t>Total Year 1  Domestic Travel</t>
  </si>
  <si>
    <t>Total Year 2  Domestic Travel</t>
  </si>
  <si>
    <t>Total Year 3  Domestic Travel</t>
  </si>
  <si>
    <t>Total Year 4  Domestic Travel</t>
  </si>
  <si>
    <t>Total Year 5  Domestic Travel</t>
  </si>
  <si>
    <t>Total Year 1 Foreign Travel</t>
  </si>
  <si>
    <t>Total Year 2 Foreign Travel</t>
  </si>
  <si>
    <t>Total Year 3 Foreign Travel</t>
  </si>
  <si>
    <t>Total Year 4 Foreign Travel</t>
  </si>
  <si>
    <t>Total Year 5 Foreign Travel</t>
  </si>
  <si>
    <t>Participant Support Costs (UAz)</t>
  </si>
  <si>
    <t>Effort (PM/Hours)</t>
  </si>
  <si>
    <t>Hrly</t>
  </si>
  <si>
    <t>Co-PI:</t>
  </si>
  <si>
    <t>Resources:</t>
  </si>
  <si>
    <t>Start Date</t>
  </si>
  <si>
    <t>End Date</t>
  </si>
  <si>
    <t># of Years</t>
  </si>
  <si>
    <t>Graduate Student Summer (max 420 hrs/2.76 mo)</t>
  </si>
  <si>
    <t>Indirect Costs Subtotal</t>
  </si>
  <si>
    <t>I. Indirect Costs</t>
  </si>
  <si>
    <t>Indirect Costs [MTDC x 54.50% (on-campus rate); 7/1/24 - 6/30/25]</t>
  </si>
  <si>
    <t>Indirect Costs [MTDC x 55.00% (on-campus rate); 7/1/25 - 6/30/26]</t>
  </si>
  <si>
    <t>Indirect Costs [MTDC x 55.50% (on-campus rate); 7/1/26 forward]</t>
  </si>
  <si>
    <t>Enter Start and End Dates</t>
  </si>
  <si>
    <t>salary inflation:</t>
  </si>
  <si>
    <t>GA summer cap is 35 hrs/week; (35 hrs/week)*12 weeks=420 hrs</t>
  </si>
  <si>
    <t>NSF 2-month rule (PAPPG 24-1)</t>
  </si>
  <si>
    <t>Participant Support Costs (NSF - PAPPG 24-1)</t>
  </si>
  <si>
    <t>Source Link</t>
  </si>
  <si>
    <t>Other Direct Costs (except for NASA proposals)</t>
  </si>
  <si>
    <t>Current UAZ NICRA, 5/21/2024</t>
  </si>
  <si>
    <t>Revised NRSA postdoc stipend levels</t>
  </si>
  <si>
    <t>Revised GRA tuition remission rate for AY26</t>
  </si>
  <si>
    <r>
      <rPr>
        <b/>
        <sz val="16"/>
        <color indexed="10"/>
        <rFont val="Calibri"/>
        <family val="2"/>
      </rPr>
      <t>LABORATORY FOR TREE RING RESEARCH</t>
    </r>
    <r>
      <rPr>
        <sz val="16"/>
        <color indexed="10"/>
        <rFont val="Calibri"/>
        <family val="2"/>
      </rPr>
      <t>-</t>
    </r>
    <r>
      <rPr>
        <sz val="16"/>
        <color indexed="8"/>
        <rFont val="Calibri"/>
        <family val="2"/>
      </rPr>
      <t>Graduate Research Assistant Salary Amounts</t>
    </r>
  </si>
  <si>
    <t>EFFECTIVE 8/1/2025</t>
  </si>
  <si>
    <t>ANNUAL SALARIES</t>
  </si>
  <si>
    <t>ACADEMIC</t>
  </si>
  <si>
    <t>25% AY</t>
  </si>
  <si>
    <t>33% AY</t>
  </si>
  <si>
    <t>50% AY</t>
  </si>
  <si>
    <t>66% AY</t>
  </si>
  <si>
    <t>75% AY</t>
  </si>
  <si>
    <t>ANNUALIZED</t>
  </si>
  <si>
    <t>Hourly</t>
  </si>
  <si>
    <t>Grad Assistant</t>
  </si>
  <si>
    <t>MA &amp; PhD Pre-Comps</t>
  </si>
  <si>
    <t>Grad Associate</t>
  </si>
  <si>
    <t>ABD PhD</t>
  </si>
  <si>
    <t>SEMESTER SALARIES</t>
  </si>
  <si>
    <t>EFFECTIVE 8/1/2024</t>
  </si>
  <si>
    <t>50% SEM</t>
  </si>
  <si>
    <t>&lt;--FRACTION OF A SEMESTER</t>
  </si>
  <si>
    <t>LTRR max</t>
  </si>
  <si>
    <t>Updated with LTRR GRA rates and information</t>
  </si>
  <si>
    <t>Executive Level II Salary Cap added to Resources</t>
  </si>
  <si>
    <t>Executive Level II Salary Cap (NOT-OD-25-085)</t>
  </si>
  <si>
    <t>FY 2026</t>
  </si>
  <si>
    <t>FY 2026  and Beyond</t>
  </si>
  <si>
    <t>Tuition ($7590/semester) 8% escalation out years</t>
  </si>
  <si>
    <t>ERE rates updated for FY26</t>
  </si>
  <si>
    <t>https://finance.arizona.edu/accounting/ere-rates</t>
  </si>
  <si>
    <t>Ruth L. Kirschstein National Research Service Award (NRSA) Stipends, Tuition/Fees and Other Budgetary Levels Effective for Fiscal Year 2025</t>
  </si>
  <si>
    <t>NOT-OD-25-105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</si>
</sst>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
    <numFmt numFmtId="165" formatCode="&quot;$&quot;#,##0"/>
    <numFmt numFmtId="166" formatCode="&quot;$&quot;#,##0.00"/>
    <numFmt numFmtId="167" formatCode="_(* #,##0_);_(* \(#,##0\);_(* &quot;-&quot;??_);_(@_)"/>
    <numFmt numFmtId="168" formatCode="0.0%"/>
    <numFmt numFmtId="169" formatCode="&quot;$&quot;#,##0.0_);\(&quot;$&quot;#,##0.0\)"/>
    <numFmt numFmtId="170" formatCode="m/d/yy;@"/>
  </numFmts>
  <fonts count="4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0"/>
      <color indexed="57"/>
      <name val="Arial"/>
      <family val="2"/>
    </font>
    <font>
      <sz val="10"/>
      <color indexed="57"/>
      <name val="Arial"/>
      <family val="2"/>
    </font>
    <font>
      <sz val="10"/>
      <name val="Geneva"/>
      <family val="2"/>
    </font>
    <font>
      <b/>
      <sz val="9"/>
      <name val="Arial"/>
      <family val="2"/>
    </font>
    <font>
      <b/>
      <sz val="10"/>
      <color indexed="8"/>
      <name val="Calibri"/>
      <family val="2"/>
    </font>
    <font>
      <sz val="10"/>
      <color indexed="8"/>
      <name val="Calibri"/>
      <family val="2"/>
    </font>
    <font>
      <sz val="16"/>
      <color indexed="8"/>
      <name val="Calibri"/>
      <family val="2"/>
    </font>
    <font>
      <b/>
      <sz val="16"/>
      <color indexed="10"/>
      <name val="Calibri"/>
      <family val="2"/>
    </font>
    <font>
      <sz val="16"/>
      <color indexed="10"/>
      <name val="Calibri"/>
      <family val="2"/>
    </font>
    <font>
      <sz val="11"/>
      <color theme="1"/>
      <name val="Calibri"/>
      <family val="2"/>
      <scheme val="minor"/>
    </font>
    <font>
      <sz val="12"/>
      <color theme="1"/>
      <name val="Calibri"/>
      <family val="2"/>
      <scheme val="minor"/>
    </font>
    <font>
      <b/>
      <sz val="11"/>
      <color theme="1"/>
      <name val="Calibri"/>
      <family val="2"/>
      <scheme val="minor"/>
    </font>
    <font>
      <sz val="10"/>
      <color rgb="FFFF0000"/>
      <name val="Arial"/>
      <family val="2"/>
    </font>
    <font>
      <b/>
      <sz val="10"/>
      <color theme="1"/>
      <name val="Calibri"/>
      <family val="2"/>
      <scheme val="minor"/>
    </font>
    <font>
      <sz val="10"/>
      <color rgb="FFFF0000"/>
      <name val="Calibri"/>
      <family val="2"/>
      <scheme val="minor"/>
    </font>
    <font>
      <b/>
      <sz val="12"/>
      <color theme="1"/>
      <name val="Calibri"/>
      <family val="2"/>
      <scheme val="minor"/>
    </font>
    <font>
      <sz val="10"/>
      <color theme="1"/>
      <name val="Calibri"/>
      <family val="2"/>
      <scheme val="minor"/>
    </font>
    <font>
      <b/>
      <sz val="18"/>
      <name val="Calibri"/>
      <family val="2"/>
      <scheme val="minor"/>
    </font>
    <font>
      <sz val="16"/>
      <color theme="1"/>
      <name val="Calibri"/>
      <family val="2"/>
    </font>
    <font>
      <b/>
      <sz val="11"/>
      <color rgb="FFFF0000"/>
      <name val="Calibri"/>
      <family val="2"/>
      <scheme val="minor"/>
    </font>
    <font>
      <sz val="10"/>
      <name val="Arial"/>
      <family val="2"/>
    </font>
    <font>
      <b/>
      <i/>
      <sz val="11"/>
      <color theme="1"/>
      <name val="Calibri"/>
      <family val="2"/>
      <scheme val="minor"/>
    </font>
    <font>
      <b/>
      <i/>
      <sz val="10"/>
      <name val="Arial"/>
      <family val="2"/>
    </font>
    <font>
      <i/>
      <sz val="10"/>
      <name val="Arial"/>
      <family val="2"/>
    </font>
    <font>
      <u/>
      <sz val="10"/>
      <color theme="10"/>
      <name val="Arial"/>
      <family val="2"/>
    </font>
    <font>
      <i/>
      <sz val="9"/>
      <color rgb="FFC00000"/>
      <name val="Arial"/>
      <family val="2"/>
    </font>
    <font>
      <sz val="10"/>
      <color rgb="FFFF0000"/>
      <name val="Calibri"/>
      <family val="2"/>
    </font>
    <font>
      <sz val="11"/>
      <color rgb="FFFF0000"/>
      <name val="Calibri"/>
      <family val="2"/>
      <scheme val="minor"/>
    </font>
    <font>
      <b/>
      <sz val="10"/>
      <color rgb="FFFF0000"/>
      <name val="Arial"/>
      <family val="2"/>
    </font>
    <font>
      <b/>
      <sz val="14"/>
      <name val="Arial"/>
      <family val="2"/>
    </font>
    <font>
      <sz val="9"/>
      <name val="Arial"/>
      <family val="2"/>
    </font>
    <font>
      <u/>
      <sz val="9"/>
      <color theme="10"/>
      <name val="Arial"/>
      <family val="2"/>
    </font>
    <font>
      <i/>
      <u/>
      <sz val="10"/>
      <color theme="10"/>
      <name val="Arial"/>
      <family val="2"/>
    </font>
    <font>
      <i/>
      <sz val="9"/>
      <name val="Arial"/>
      <family val="2"/>
    </font>
    <font>
      <i/>
      <sz val="8"/>
      <name val="Arial"/>
      <family val="2"/>
    </font>
    <font>
      <b/>
      <u/>
      <sz val="10"/>
      <color rgb="FFC00000"/>
      <name val="Arial"/>
      <family val="2"/>
    </font>
    <font>
      <b/>
      <sz val="12"/>
      <name val="Arial"/>
      <family val="2"/>
    </font>
  </fonts>
  <fills count="13">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lightUp">
        <bgColor theme="8" tint="0.79995117038483843"/>
      </patternFill>
    </fill>
    <fill>
      <patternFill patternType="solid">
        <fgColor rgb="FF94DCF8"/>
        <bgColor rgb="FF000000"/>
      </patternFill>
    </fill>
    <fill>
      <patternFill patternType="solid">
        <fgColor rgb="FFFFFF00"/>
        <bgColor rgb="FF000000"/>
      </patternFill>
    </fill>
    <fill>
      <patternFill patternType="solid">
        <fgColor rgb="FFF7C7AC"/>
        <bgColor rgb="FF000000"/>
      </patternFill>
    </fill>
    <fill>
      <patternFill patternType="solid">
        <fgColor rgb="FFE49EDD"/>
        <bgColor rgb="FF000000"/>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xf numFmtId="43" fontId="4" fillId="0" borderId="0" applyFont="0" applyFill="0" applyBorder="0" applyAlignment="0" applyProtection="0"/>
    <xf numFmtId="44" fontId="4" fillId="0" borderId="0" applyFont="0" applyFill="0" applyBorder="0" applyAlignment="0" applyProtection="0"/>
    <xf numFmtId="0" fontId="9" fillId="0" borderId="0"/>
    <xf numFmtId="0" fontId="17" fillId="0" borderId="0"/>
    <xf numFmtId="0" fontId="16" fillId="0" borderId="0"/>
    <xf numFmtId="9" fontId="27" fillId="0" borderId="0" applyFont="0" applyFill="0" applyBorder="0" applyAlignment="0" applyProtection="0"/>
    <xf numFmtId="0" fontId="27"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0" fontId="31" fillId="0" borderId="0" applyNumberFormat="0" applyFill="0" applyBorder="0" applyAlignment="0" applyProtection="0"/>
    <xf numFmtId="0" fontId="4" fillId="0" borderId="0"/>
  </cellStyleXfs>
  <cellXfs count="285">
    <xf numFmtId="0" fontId="0" fillId="0" borderId="0" xfId="0"/>
    <xf numFmtId="0" fontId="5" fillId="0" borderId="0" xfId="0" applyFont="1"/>
    <xf numFmtId="1" fontId="0" fillId="0" borderId="0" xfId="0" applyNumberFormat="1"/>
    <xf numFmtId="1" fontId="0" fillId="0" borderId="0" xfId="0" applyNumberFormat="1" applyAlignment="1">
      <alignment horizontal="center"/>
    </xf>
    <xf numFmtId="14" fontId="5" fillId="0" borderId="0" xfId="0" applyNumberFormat="1" applyFont="1"/>
    <xf numFmtId="0" fontId="4" fillId="0" borderId="0" xfId="0" applyFont="1"/>
    <xf numFmtId="0" fontId="0" fillId="0" borderId="0" xfId="0" applyAlignment="1">
      <alignment horizontal="center"/>
    </xf>
    <xf numFmtId="0" fontId="5" fillId="2" borderId="2" xfId="0" applyFont="1" applyFill="1" applyBorder="1"/>
    <xf numFmtId="0" fontId="20" fillId="3" borderId="3" xfId="0" applyFont="1" applyFill="1" applyBorder="1" applyAlignment="1">
      <alignment horizontal="center" vertical="center" wrapText="1"/>
    </xf>
    <xf numFmtId="0" fontId="23" fillId="0" borderId="0" xfId="0" applyFont="1"/>
    <xf numFmtId="0" fontId="20" fillId="0" borderId="0" xfId="0" applyFont="1" applyAlignment="1">
      <alignment vertical="center"/>
    </xf>
    <xf numFmtId="3" fontId="0" fillId="0" borderId="0" xfId="0" applyNumberFormat="1"/>
    <xf numFmtId="1" fontId="5" fillId="0" borderId="0" xfId="0" applyNumberFormat="1" applyFont="1" applyAlignment="1">
      <alignment horizontal="center"/>
    </xf>
    <xf numFmtId="14" fontId="0" fillId="0" borderId="0" xfId="0" applyNumberFormat="1"/>
    <xf numFmtId="165" fontId="5" fillId="0" borderId="0" xfId="0" applyNumberFormat="1" applyFont="1"/>
    <xf numFmtId="3" fontId="4" fillId="0" borderId="0" xfId="0" applyNumberFormat="1" applyFont="1"/>
    <xf numFmtId="0" fontId="16" fillId="0" borderId="0" xfId="0" applyFont="1"/>
    <xf numFmtId="0" fontId="18" fillId="0" borderId="0" xfId="4" applyFont="1"/>
    <xf numFmtId="0" fontId="25" fillId="0" borderId="0" xfId="5" applyFont="1"/>
    <xf numFmtId="0" fontId="20" fillId="3" borderId="3" xfId="0" applyFont="1" applyFill="1" applyBorder="1" applyAlignment="1">
      <alignment horizontal="center" vertical="center"/>
    </xf>
    <xf numFmtId="0" fontId="20" fillId="0" borderId="0" xfId="0" applyFont="1" applyAlignment="1">
      <alignment horizontal="center" vertical="center" wrapText="1"/>
    </xf>
    <xf numFmtId="0" fontId="23" fillId="0" borderId="0" xfId="0" applyFont="1" applyAlignment="1">
      <alignment vertical="center"/>
    </xf>
    <xf numFmtId="0" fontId="5" fillId="0" borderId="0" xfId="0" applyFont="1" applyAlignment="1">
      <alignment horizontal="center"/>
    </xf>
    <xf numFmtId="0" fontId="26" fillId="0" borderId="0" xfId="0" applyFont="1"/>
    <xf numFmtId="0" fontId="3" fillId="0" borderId="0" xfId="4" applyFont="1"/>
    <xf numFmtId="0" fontId="27" fillId="0" borderId="0" xfId="7"/>
    <xf numFmtId="0" fontId="20" fillId="3" borderId="3" xfId="7" applyFont="1" applyFill="1" applyBorder="1" applyAlignment="1">
      <alignment horizontal="center" vertical="center" wrapText="1"/>
    </xf>
    <xf numFmtId="0" fontId="5" fillId="0" borderId="0" xfId="7" applyFont="1"/>
    <xf numFmtId="43" fontId="4" fillId="0" borderId="0" xfId="8" applyFont="1"/>
    <xf numFmtId="167" fontId="4" fillId="0" borderId="0" xfId="8" applyNumberFormat="1" applyFont="1"/>
    <xf numFmtId="40" fontId="27" fillId="0" borderId="0" xfId="7" applyNumberFormat="1" applyAlignment="1">
      <alignment horizontal="right"/>
    </xf>
    <xf numFmtId="0" fontId="18" fillId="0" borderId="0" xfId="7" applyFont="1" applyAlignment="1">
      <alignment horizontal="left"/>
    </xf>
    <xf numFmtId="0" fontId="18" fillId="0" borderId="0" xfId="7" applyFont="1" applyAlignment="1">
      <alignment horizontal="center"/>
    </xf>
    <xf numFmtId="0" fontId="27" fillId="0" borderId="0" xfId="7" applyAlignment="1">
      <alignment horizontal="center"/>
    </xf>
    <xf numFmtId="0" fontId="21" fillId="0" borderId="0" xfId="7" applyFont="1"/>
    <xf numFmtId="1" fontId="27" fillId="0" borderId="0" xfId="7" applyNumberFormat="1"/>
    <xf numFmtId="0" fontId="22" fillId="0" borderId="0" xfId="7" applyFont="1" applyAlignment="1">
      <alignment vertical="center"/>
    </xf>
    <xf numFmtId="0" fontId="4" fillId="0" borderId="0" xfId="7" applyFont="1" applyAlignment="1">
      <alignment vertical="center"/>
    </xf>
    <xf numFmtId="0" fontId="23" fillId="0" borderId="0" xfId="7" applyFont="1" applyAlignment="1">
      <alignment vertical="center"/>
    </xf>
    <xf numFmtId="0" fontId="0" fillId="2" borderId="3" xfId="0" applyFill="1" applyBorder="1"/>
    <xf numFmtId="0" fontId="4" fillId="0" borderId="3" xfId="0" applyFont="1" applyBorder="1"/>
    <xf numFmtId="9" fontId="18" fillId="0" borderId="3" xfId="6" applyFont="1" applyFill="1" applyBorder="1"/>
    <xf numFmtId="9" fontId="18" fillId="0" borderId="3" xfId="6" applyFont="1" applyBorder="1"/>
    <xf numFmtId="0" fontId="18" fillId="0" borderId="3" xfId="4" applyFont="1" applyBorder="1"/>
    <xf numFmtId="10" fontId="18" fillId="0" borderId="3" xfId="6" applyNumberFormat="1" applyFont="1" applyFill="1" applyBorder="1"/>
    <xf numFmtId="166" fontId="18" fillId="0" borderId="3" xfId="4" applyNumberFormat="1" applyFont="1" applyBorder="1"/>
    <xf numFmtId="0" fontId="18" fillId="4" borderId="3" xfId="4" applyFont="1" applyFill="1" applyBorder="1"/>
    <xf numFmtId="10" fontId="18" fillId="4" borderId="3" xfId="6" applyNumberFormat="1" applyFont="1" applyFill="1" applyBorder="1"/>
    <xf numFmtId="9" fontId="18" fillId="4" borderId="3" xfId="6" applyFont="1" applyFill="1" applyBorder="1"/>
    <xf numFmtId="0" fontId="18" fillId="4" borderId="3" xfId="4" applyFont="1" applyFill="1" applyBorder="1" applyAlignment="1">
      <alignment wrapText="1"/>
    </xf>
    <xf numFmtId="0" fontId="3" fillId="0" borderId="0" xfId="0" applyFont="1"/>
    <xf numFmtId="166" fontId="3" fillId="0" borderId="0" xfId="4" applyNumberFormat="1" applyFont="1"/>
    <xf numFmtId="10" fontId="3" fillId="0" borderId="3" xfId="6" applyNumberFormat="1" applyFont="1" applyFill="1" applyBorder="1"/>
    <xf numFmtId="166" fontId="3" fillId="0" borderId="3" xfId="4" applyNumberFormat="1" applyFont="1" applyBorder="1"/>
    <xf numFmtId="9" fontId="3" fillId="0" borderId="3" xfId="6" applyFont="1" applyBorder="1"/>
    <xf numFmtId="9" fontId="3" fillId="0" borderId="3" xfId="6" applyFont="1" applyFill="1" applyBorder="1"/>
    <xf numFmtId="44" fontId="5" fillId="2" borderId="2" xfId="0" applyNumberFormat="1" applyFont="1" applyFill="1" applyBorder="1"/>
    <xf numFmtId="0" fontId="5" fillId="3" borderId="3" xfId="0" applyFont="1" applyFill="1" applyBorder="1" applyAlignment="1">
      <alignment horizontal="center" vertical="center"/>
    </xf>
    <xf numFmtId="0" fontId="31" fillId="0" borderId="0" xfId="11"/>
    <xf numFmtId="0" fontId="5" fillId="0" borderId="0" xfId="0" applyFont="1" applyAlignment="1">
      <alignment horizontal="left"/>
    </xf>
    <xf numFmtId="0" fontId="5" fillId="0" borderId="0" xfId="7" applyFont="1" applyAlignment="1">
      <alignment horizontal="center"/>
    </xf>
    <xf numFmtId="0" fontId="33" fillId="0" borderId="0" xfId="7" applyFont="1"/>
    <xf numFmtId="2" fontId="0" fillId="0" borderId="0" xfId="0" applyNumberFormat="1" applyAlignment="1">
      <alignment horizontal="center"/>
    </xf>
    <xf numFmtId="2" fontId="5" fillId="0" borderId="0" xfId="0" applyNumberFormat="1" applyFont="1" applyAlignment="1">
      <alignment horizontal="center"/>
    </xf>
    <xf numFmtId="9" fontId="0" fillId="0" borderId="0" xfId="0" applyNumberFormat="1" applyAlignment="1">
      <alignment horizontal="center"/>
    </xf>
    <xf numFmtId="9" fontId="5" fillId="0" borderId="0" xfId="0" applyNumberFormat="1" applyFont="1" applyAlignment="1">
      <alignment horizontal="center"/>
    </xf>
    <xf numFmtId="0" fontId="2" fillId="0" borderId="0" xfId="4" applyFont="1"/>
    <xf numFmtId="166" fontId="34" fillId="0" borderId="0" xfId="4" applyNumberFormat="1" applyFont="1"/>
    <xf numFmtId="0" fontId="1" fillId="0" borderId="0" xfId="0" applyFont="1"/>
    <xf numFmtId="14" fontId="3" fillId="0" borderId="0" xfId="4" applyNumberFormat="1" applyFont="1"/>
    <xf numFmtId="166" fontId="1" fillId="0" borderId="0" xfId="4" applyNumberFormat="1" applyFont="1"/>
    <xf numFmtId="0" fontId="18" fillId="0" borderId="0" xfId="0" applyFont="1"/>
    <xf numFmtId="167" fontId="4" fillId="0" borderId="0" xfId="8" applyNumberFormat="1" applyFont="1" applyFill="1"/>
    <xf numFmtId="0" fontId="35" fillId="0" borderId="0" xfId="7" applyFont="1"/>
    <xf numFmtId="0" fontId="5" fillId="0" borderId="3" xfId="0" applyFont="1" applyBorder="1"/>
    <xf numFmtId="0" fontId="5" fillId="2" borderId="3" xfId="0" applyFont="1" applyFill="1" applyBorder="1" applyAlignment="1">
      <alignment horizontal="center" vertical="center" wrapText="1"/>
    </xf>
    <xf numFmtId="44" fontId="0" fillId="5" borderId="3" xfId="2" applyFont="1" applyFill="1" applyBorder="1"/>
    <xf numFmtId="0" fontId="5" fillId="2" borderId="4" xfId="0" applyFont="1" applyFill="1" applyBorder="1"/>
    <xf numFmtId="0" fontId="29" fillId="0" borderId="0" xfId="0" applyFont="1" applyAlignment="1">
      <alignment horizontal="right"/>
    </xf>
    <xf numFmtId="42" fontId="0" fillId="0" borderId="0" xfId="0" applyNumberFormat="1"/>
    <xf numFmtId="0" fontId="36" fillId="0" borderId="0" xfId="0" applyFont="1"/>
    <xf numFmtId="0" fontId="0" fillId="6" borderId="3" xfId="0" applyFill="1" applyBorder="1"/>
    <xf numFmtId="0" fontId="5" fillId="6" borderId="3" xfId="0" applyFont="1" applyFill="1" applyBorder="1" applyAlignment="1">
      <alignment horizontal="center" vertical="center" wrapText="1"/>
    </xf>
    <xf numFmtId="0" fontId="5" fillId="6" borderId="4" xfId="0" applyFont="1" applyFill="1" applyBorder="1"/>
    <xf numFmtId="0" fontId="5" fillId="6" borderId="2" xfId="0" applyFont="1" applyFill="1" applyBorder="1"/>
    <xf numFmtId="44" fontId="5" fillId="6" borderId="2" xfId="0" applyNumberFormat="1" applyFont="1" applyFill="1" applyBorder="1"/>
    <xf numFmtId="44" fontId="0" fillId="7" borderId="3" xfId="2" applyFont="1" applyFill="1" applyBorder="1"/>
    <xf numFmtId="166" fontId="3" fillId="5" borderId="3" xfId="4" applyNumberFormat="1" applyFont="1" applyFill="1" applyBorder="1"/>
    <xf numFmtId="0" fontId="31" fillId="0" borderId="0" xfId="11" applyAlignment="1">
      <alignment horizontal="center"/>
    </xf>
    <xf numFmtId="0" fontId="0" fillId="5" borderId="0" xfId="0" applyFill="1"/>
    <xf numFmtId="44" fontId="0" fillId="0" borderId="3" xfId="2" applyFont="1" applyFill="1" applyBorder="1"/>
    <xf numFmtId="0" fontId="0" fillId="0" borderId="3" xfId="0" applyBorder="1"/>
    <xf numFmtId="49" fontId="0" fillId="0" borderId="3" xfId="0" applyNumberFormat="1" applyBorder="1"/>
    <xf numFmtId="42" fontId="0" fillId="5" borderId="3" xfId="2" applyNumberFormat="1" applyFont="1" applyFill="1" applyBorder="1"/>
    <xf numFmtId="42" fontId="0" fillId="7" borderId="3" xfId="2" applyNumberFormat="1" applyFont="1" applyFill="1" applyBorder="1"/>
    <xf numFmtId="166" fontId="3" fillId="5" borderId="6" xfId="4" applyNumberFormat="1" applyFont="1" applyFill="1" applyBorder="1"/>
    <xf numFmtId="0" fontId="4" fillId="5" borderId="0" xfId="0" applyFont="1" applyFill="1"/>
    <xf numFmtId="0" fontId="4" fillId="7" borderId="0" xfId="0" applyFont="1" applyFill="1"/>
    <xf numFmtId="0" fontId="0" fillId="7" borderId="0" xfId="0" applyFill="1"/>
    <xf numFmtId="0" fontId="0" fillId="0" borderId="0" xfId="0" applyProtection="1">
      <protection locked="0"/>
    </xf>
    <xf numFmtId="0" fontId="30" fillId="0" borderId="0" xfId="0" applyFont="1" applyAlignment="1" applyProtection="1">
      <alignment horizontal="center" vertical="center"/>
      <protection locked="0"/>
    </xf>
    <xf numFmtId="0" fontId="0" fillId="0" borderId="0" xfId="0" applyAlignment="1" applyProtection="1">
      <alignment horizontal="left"/>
      <protection locked="0"/>
    </xf>
    <xf numFmtId="43" fontId="0" fillId="0" borderId="0" xfId="1" applyFont="1" applyBorder="1" applyAlignment="1" applyProtection="1">
      <protection locked="0"/>
    </xf>
    <xf numFmtId="1" fontId="0" fillId="0" borderId="0" xfId="0" applyNumberFormat="1" applyProtection="1">
      <protection locked="0"/>
    </xf>
    <xf numFmtId="0" fontId="5" fillId="0" borderId="0" xfId="0" applyFont="1" applyProtection="1">
      <protection locked="0"/>
    </xf>
    <xf numFmtId="0" fontId="4" fillId="0" borderId="0" xfId="0" applyFont="1" applyProtection="1">
      <protection locked="0"/>
    </xf>
    <xf numFmtId="1" fontId="0" fillId="0" borderId="0" xfId="0" applyNumberFormat="1" applyAlignment="1" applyProtection="1">
      <alignment horizontal="left"/>
      <protection locked="0"/>
    </xf>
    <xf numFmtId="14" fontId="0" fillId="0" borderId="0" xfId="0" applyNumberFormat="1" applyAlignment="1" applyProtection="1">
      <alignment horizontal="left"/>
      <protection locked="0"/>
    </xf>
    <xf numFmtId="14" fontId="0" fillId="0" borderId="0" xfId="0" applyNumberFormat="1" applyProtection="1">
      <protection locked="0"/>
    </xf>
    <xf numFmtId="43" fontId="4" fillId="0" borderId="0" xfId="1" applyFont="1" applyBorder="1" applyAlignment="1" applyProtection="1">
      <protection locked="0"/>
    </xf>
    <xf numFmtId="14" fontId="4" fillId="0" borderId="0" xfId="0" applyNumberFormat="1" applyFont="1" applyAlignment="1" applyProtection="1">
      <alignment horizontal="left"/>
      <protection locked="0"/>
    </xf>
    <xf numFmtId="1" fontId="0" fillId="0" borderId="0" xfId="0" applyNumberFormat="1" applyAlignment="1" applyProtection="1">
      <alignment horizontal="center"/>
      <protection locked="0"/>
    </xf>
    <xf numFmtId="165" fontId="0" fillId="0" borderId="0" xfId="0" applyNumberFormat="1" applyAlignment="1" applyProtection="1">
      <alignment horizontal="center"/>
      <protection locked="0"/>
    </xf>
    <xf numFmtId="165" fontId="0" fillId="0" borderId="0" xfId="0" applyNumberFormat="1" applyProtection="1">
      <protection locked="0"/>
    </xf>
    <xf numFmtId="165" fontId="0" fillId="0" borderId="0" xfId="0" applyNumberFormat="1" applyAlignment="1" applyProtection="1">
      <alignment horizontal="left"/>
      <protection locked="0"/>
    </xf>
    <xf numFmtId="166" fontId="0" fillId="0" borderId="0" xfId="0" applyNumberFormat="1" applyAlignment="1" applyProtection="1">
      <alignment horizontal="left"/>
      <protection locked="0"/>
    </xf>
    <xf numFmtId="0" fontId="38" fillId="0" borderId="0" xfId="11" applyFont="1" applyAlignment="1" applyProtection="1">
      <alignment horizontal="left"/>
      <protection locked="0"/>
    </xf>
    <xf numFmtId="1" fontId="4" fillId="0" borderId="0" xfId="0" applyNumberFormat="1" applyFont="1" applyProtection="1">
      <protection locked="0"/>
    </xf>
    <xf numFmtId="5" fontId="5" fillId="0" borderId="0" xfId="2" applyNumberFormat="1" applyFont="1" applyBorder="1" applyAlignment="1" applyProtection="1">
      <alignment horizontal="left"/>
      <protection locked="0"/>
    </xf>
    <xf numFmtId="5" fontId="5" fillId="0" borderId="0" xfId="2" applyNumberFormat="1" applyFont="1" applyBorder="1" applyAlignment="1" applyProtection="1">
      <protection locked="0"/>
    </xf>
    <xf numFmtId="43" fontId="5" fillId="0" borderId="0" xfId="1" applyFont="1" applyBorder="1" applyAlignment="1" applyProtection="1">
      <protection locked="0"/>
    </xf>
    <xf numFmtId="1" fontId="5" fillId="0" borderId="0" xfId="0" applyNumberFormat="1" applyFont="1" applyProtection="1">
      <protection locked="0"/>
    </xf>
    <xf numFmtId="43" fontId="0" fillId="0" borderId="0" xfId="1" applyFont="1" applyAlignment="1" applyProtection="1">
      <protection locked="0"/>
    </xf>
    <xf numFmtId="164" fontId="0" fillId="0" borderId="0" xfId="0" applyNumberFormat="1" applyProtection="1">
      <protection locked="0"/>
    </xf>
    <xf numFmtId="165" fontId="19" fillId="0" borderId="0" xfId="0" applyNumberFormat="1" applyFont="1" applyAlignment="1" applyProtection="1">
      <alignment horizontal="center"/>
      <protection locked="0"/>
    </xf>
    <xf numFmtId="5" fontId="5" fillId="0" borderId="0" xfId="0" applyNumberFormat="1" applyFont="1" applyAlignment="1" applyProtection="1">
      <alignment horizontal="left"/>
      <protection locked="0"/>
    </xf>
    <xf numFmtId="165" fontId="5" fillId="0" borderId="0" xfId="0" applyNumberFormat="1" applyFont="1" applyProtection="1">
      <protection locked="0"/>
    </xf>
    <xf numFmtId="5" fontId="0" fillId="0" borderId="0" xfId="2" applyNumberFormat="1" applyFont="1" applyBorder="1" applyAlignment="1" applyProtection="1">
      <alignment horizontal="center"/>
      <protection locked="0"/>
    </xf>
    <xf numFmtId="5" fontId="0" fillId="0" borderId="0" xfId="2" applyNumberFormat="1" applyFont="1" applyFill="1" applyAlignment="1" applyProtection="1">
      <alignment horizontal="center"/>
      <protection locked="0"/>
    </xf>
    <xf numFmtId="6" fontId="0" fillId="0" borderId="0" xfId="0" applyNumberFormat="1" applyAlignment="1" applyProtection="1">
      <alignment horizontal="left"/>
      <protection locked="0"/>
    </xf>
    <xf numFmtId="6" fontId="0" fillId="0" borderId="0" xfId="0" applyNumberFormat="1" applyProtection="1">
      <protection locked="0"/>
    </xf>
    <xf numFmtId="6" fontId="5" fillId="0" borderId="0" xfId="0" applyNumberFormat="1" applyFont="1" applyAlignment="1" applyProtection="1">
      <alignment horizontal="left"/>
      <protection locked="0"/>
    </xf>
    <xf numFmtId="166" fontId="5" fillId="0" borderId="0" xfId="0" applyNumberFormat="1" applyFont="1" applyProtection="1">
      <protection locked="0"/>
    </xf>
    <xf numFmtId="6" fontId="4" fillId="0" borderId="0" xfId="0" applyNumberFormat="1" applyFont="1" applyAlignment="1" applyProtection="1">
      <alignment horizontal="left"/>
      <protection locked="0"/>
    </xf>
    <xf numFmtId="5" fontId="4" fillId="0" borderId="0" xfId="2" applyNumberFormat="1" applyFont="1" applyBorder="1" applyAlignment="1" applyProtection="1">
      <alignment horizontal="center"/>
      <protection locked="0"/>
    </xf>
    <xf numFmtId="6" fontId="4" fillId="0" borderId="0" xfId="0" applyNumberFormat="1" applyFont="1" applyProtection="1">
      <protection locked="0"/>
    </xf>
    <xf numFmtId="165" fontId="0" fillId="0" borderId="0" xfId="2" applyNumberFormat="1" applyFont="1" applyBorder="1" applyAlignment="1" applyProtection="1">
      <alignment horizontal="left"/>
      <protection locked="0"/>
    </xf>
    <xf numFmtId="7" fontId="4" fillId="0" borderId="0" xfId="0" applyNumberFormat="1" applyFont="1" applyProtection="1">
      <protection locked="0"/>
    </xf>
    <xf numFmtId="1" fontId="0" fillId="0" borderId="0" xfId="2" applyNumberFormat="1" applyFont="1" applyBorder="1" applyAlignment="1" applyProtection="1">
      <alignment horizontal="left"/>
      <protection locked="0"/>
    </xf>
    <xf numFmtId="1" fontId="4" fillId="0" borderId="0" xfId="1" applyNumberFormat="1" applyFont="1" applyBorder="1" applyAlignment="1" applyProtection="1">
      <protection locked="0"/>
    </xf>
    <xf numFmtId="1" fontId="5" fillId="0" borderId="0" xfId="0" applyNumberFormat="1" applyFont="1" applyAlignment="1" applyProtection="1">
      <alignment horizontal="left"/>
      <protection locked="0"/>
    </xf>
    <xf numFmtId="3" fontId="4" fillId="0" borderId="0" xfId="1" applyNumberFormat="1" applyFont="1" applyBorder="1" applyAlignment="1" applyProtection="1">
      <protection locked="0"/>
    </xf>
    <xf numFmtId="3" fontId="4" fillId="0" borderId="0" xfId="0" applyNumberFormat="1" applyFont="1" applyProtection="1">
      <protection locked="0"/>
    </xf>
    <xf numFmtId="3" fontId="0" fillId="0" borderId="0" xfId="0" applyNumberFormat="1" applyProtection="1">
      <protection locked="0"/>
    </xf>
    <xf numFmtId="1" fontId="0" fillId="0" borderId="0" xfId="1" applyNumberFormat="1" applyFont="1" applyBorder="1" applyAlignment="1" applyProtection="1">
      <alignment horizontal="left"/>
      <protection locked="0"/>
    </xf>
    <xf numFmtId="1" fontId="4" fillId="0" borderId="0" xfId="2" applyNumberFormat="1" applyFont="1" applyBorder="1" applyAlignment="1" applyProtection="1">
      <alignment horizontal="left"/>
      <protection locked="0"/>
    </xf>
    <xf numFmtId="1" fontId="4" fillId="0" borderId="0" xfId="0" applyNumberFormat="1" applyFont="1" applyAlignment="1" applyProtection="1">
      <alignment horizontal="left"/>
      <protection locked="0"/>
    </xf>
    <xf numFmtId="3" fontId="0" fillId="0" borderId="0" xfId="1" applyNumberFormat="1" applyFont="1" applyBorder="1" applyAlignment="1" applyProtection="1">
      <protection locked="0"/>
    </xf>
    <xf numFmtId="3" fontId="0" fillId="0" borderId="0" xfId="2" applyNumberFormat="1" applyFont="1" applyBorder="1" applyAlignment="1" applyProtection="1">
      <protection locked="0"/>
    </xf>
    <xf numFmtId="1" fontId="4" fillId="0" borderId="0" xfId="1" applyNumberFormat="1" applyFont="1" applyBorder="1" applyAlignment="1" applyProtection="1">
      <alignment horizontal="left"/>
      <protection locked="0"/>
    </xf>
    <xf numFmtId="5" fontId="0" fillId="0" borderId="0" xfId="0" applyNumberFormat="1" applyProtection="1">
      <protection locked="0"/>
    </xf>
    <xf numFmtId="0" fontId="5" fillId="0" borderId="7" xfId="0" applyFont="1" applyBorder="1" applyProtection="1">
      <protection locked="0"/>
    </xf>
    <xf numFmtId="0" fontId="5" fillId="0" borderId="8" xfId="0" applyFont="1" applyBorder="1" applyProtection="1">
      <protection locked="0"/>
    </xf>
    <xf numFmtId="6" fontId="5" fillId="0" borderId="8" xfId="0" applyNumberFormat="1" applyFont="1" applyBorder="1" applyAlignment="1" applyProtection="1">
      <alignment horizontal="center"/>
      <protection locked="0"/>
    </xf>
    <xf numFmtId="6" fontId="5" fillId="5" borderId="9" xfId="0" applyNumberFormat="1" applyFont="1" applyFill="1" applyBorder="1" applyAlignment="1" applyProtection="1">
      <alignment horizontal="center"/>
      <protection locked="0"/>
    </xf>
    <xf numFmtId="0" fontId="5" fillId="0" borderId="12" xfId="0" applyFont="1" applyBorder="1" applyProtection="1">
      <protection locked="0"/>
    </xf>
    <xf numFmtId="0" fontId="5" fillId="0" borderId="1" xfId="0" applyFont="1" applyBorder="1" applyProtection="1">
      <protection locked="0"/>
    </xf>
    <xf numFmtId="6" fontId="5" fillId="5" borderId="1" xfId="0" applyNumberFormat="1" applyFont="1" applyFill="1" applyBorder="1" applyAlignment="1" applyProtection="1">
      <alignment horizontal="center"/>
      <protection locked="0"/>
    </xf>
    <xf numFmtId="6" fontId="5" fillId="5" borderId="13" xfId="0" applyNumberFormat="1" applyFont="1" applyFill="1" applyBorder="1" applyAlignment="1" applyProtection="1">
      <alignment horizontal="center"/>
      <protection locked="0"/>
    </xf>
    <xf numFmtId="1" fontId="31" fillId="0" borderId="0" xfId="11" applyNumberFormat="1" applyAlignment="1" applyProtection="1">
      <alignment horizontal="left"/>
      <protection locked="0"/>
    </xf>
    <xf numFmtId="0" fontId="7" fillId="0" borderId="0" xfId="0" applyFont="1" applyProtection="1">
      <protection locked="0"/>
    </xf>
    <xf numFmtId="7" fontId="0" fillId="0" borderId="0" xfId="0" applyNumberFormat="1" applyProtection="1">
      <protection locked="0"/>
    </xf>
    <xf numFmtId="0" fontId="8" fillId="0" borderId="0" xfId="0" applyFont="1" applyProtection="1">
      <protection locked="0"/>
    </xf>
    <xf numFmtId="165" fontId="5" fillId="0" borderId="0" xfId="0" applyNumberFormat="1" applyFont="1" applyAlignment="1">
      <alignment horizontal="right"/>
    </xf>
    <xf numFmtId="165" fontId="5" fillId="0" borderId="0" xfId="2" applyNumberFormat="1" applyFont="1" applyBorder="1"/>
    <xf numFmtId="165" fontId="29" fillId="0" borderId="0" xfId="0" applyNumberFormat="1" applyFont="1" applyAlignment="1">
      <alignment horizontal="right"/>
    </xf>
    <xf numFmtId="165" fontId="5" fillId="0" borderId="0" xfId="0" applyNumberFormat="1" applyFont="1" applyAlignment="1">
      <alignment horizontal="center"/>
    </xf>
    <xf numFmtId="165" fontId="5" fillId="5" borderId="0" xfId="0" applyNumberFormat="1" applyFont="1" applyFill="1" applyAlignment="1">
      <alignment horizontal="center"/>
    </xf>
    <xf numFmtId="165" fontId="5" fillId="2" borderId="5" xfId="0" applyNumberFormat="1" applyFont="1" applyFill="1" applyBorder="1" applyAlignment="1">
      <alignment horizontal="center"/>
    </xf>
    <xf numFmtId="165" fontId="5" fillId="0" borderId="0" xfId="2" applyNumberFormat="1" applyFont="1" applyBorder="1" applyAlignment="1">
      <alignment horizontal="right"/>
    </xf>
    <xf numFmtId="165" fontId="5" fillId="7" borderId="0" xfId="0" applyNumberFormat="1" applyFont="1" applyFill="1" applyAlignment="1">
      <alignment horizontal="center"/>
    </xf>
    <xf numFmtId="165" fontId="5" fillId="6" borderId="5" xfId="0" applyNumberFormat="1" applyFont="1" applyFill="1" applyBorder="1" applyAlignment="1">
      <alignment horizontal="center"/>
    </xf>
    <xf numFmtId="6" fontId="30" fillId="0" borderId="0" xfId="0" applyNumberFormat="1" applyFont="1" applyAlignment="1" applyProtection="1">
      <alignment horizontal="left"/>
      <protection locked="0"/>
    </xf>
    <xf numFmtId="0" fontId="35" fillId="0" borderId="0" xfId="0" applyFont="1"/>
    <xf numFmtId="3" fontId="35" fillId="0" borderId="0" xfId="0" applyNumberFormat="1" applyFont="1" applyAlignment="1">
      <alignment horizontal="center"/>
    </xf>
    <xf numFmtId="5" fontId="4" fillId="5" borderId="0" xfId="2" applyNumberFormat="1" applyFont="1" applyFill="1" applyBorder="1" applyAlignment="1" applyProtection="1">
      <alignment horizontal="center"/>
      <protection locked="0"/>
    </xf>
    <xf numFmtId="5" fontId="4" fillId="0" borderId="0" xfId="2" applyNumberFormat="1" applyFont="1" applyFill="1" applyBorder="1" applyAlignment="1" applyProtection="1">
      <alignment horizontal="center"/>
      <protection locked="0"/>
    </xf>
    <xf numFmtId="168" fontId="30" fillId="0" borderId="0" xfId="0" applyNumberFormat="1" applyFont="1" applyProtection="1">
      <protection locked="0"/>
    </xf>
    <xf numFmtId="37" fontId="0" fillId="0" borderId="0" xfId="1" applyNumberFormat="1" applyFont="1" applyBorder="1" applyAlignment="1" applyProtection="1">
      <protection locked="0"/>
    </xf>
    <xf numFmtId="169" fontId="0" fillId="0" borderId="0" xfId="0" applyNumberFormat="1" applyProtection="1">
      <protection locked="0"/>
    </xf>
    <xf numFmtId="0" fontId="4" fillId="0" borderId="0" xfId="0" applyFont="1" applyAlignment="1" applyProtection="1">
      <alignment wrapText="1"/>
      <protection locked="0"/>
    </xf>
    <xf numFmtId="5" fontId="5" fillId="0" borderId="0" xfId="2" applyNumberFormat="1" applyFont="1" applyFill="1" applyBorder="1" applyAlignment="1" applyProtection="1">
      <alignment horizontal="center"/>
      <protection locked="0"/>
    </xf>
    <xf numFmtId="5" fontId="0" fillId="0" borderId="0" xfId="2" applyNumberFormat="1" applyFont="1" applyFill="1" applyBorder="1" applyAlignment="1" applyProtection="1">
      <alignment horizontal="center"/>
      <protection locked="0"/>
    </xf>
    <xf numFmtId="5" fontId="39" fillId="0" borderId="0" xfId="11" applyNumberFormat="1" applyFont="1" applyFill="1" applyBorder="1" applyAlignment="1" applyProtection="1">
      <alignment horizontal="center"/>
      <protection locked="0"/>
    </xf>
    <xf numFmtId="165" fontId="4" fillId="0" borderId="0" xfId="2" applyNumberFormat="1" applyFont="1" applyFill="1" applyAlignment="1" applyProtection="1">
      <alignment horizontal="center"/>
      <protection locked="0"/>
    </xf>
    <xf numFmtId="165" fontId="5" fillId="0" borderId="0" xfId="0" applyNumberFormat="1" applyFont="1" applyAlignment="1" applyProtection="1">
      <alignment horizontal="center"/>
      <protection locked="0"/>
    </xf>
    <xf numFmtId="165" fontId="5" fillId="0" borderId="0" xfId="2" applyNumberFormat="1" applyFont="1" applyFill="1" applyBorder="1" applyAlignment="1" applyProtection="1">
      <alignment horizontal="center"/>
      <protection locked="0"/>
    </xf>
    <xf numFmtId="6" fontId="5" fillId="0" borderId="0" xfId="0" applyNumberFormat="1" applyFont="1" applyAlignment="1" applyProtection="1">
      <alignment horizontal="center"/>
      <protection locked="0"/>
    </xf>
    <xf numFmtId="1" fontId="37" fillId="0" borderId="0" xfId="0" applyNumberFormat="1" applyFont="1" applyAlignment="1" applyProtection="1">
      <alignment horizontal="right"/>
      <protection locked="0"/>
    </xf>
    <xf numFmtId="0" fontId="4" fillId="0" borderId="0" xfId="0" applyFont="1" applyAlignment="1" applyProtection="1">
      <alignment horizontal="right"/>
      <protection locked="0"/>
    </xf>
    <xf numFmtId="43" fontId="40" fillId="0" borderId="0" xfId="1" applyFont="1" applyFill="1" applyBorder="1" applyAlignment="1" applyProtection="1">
      <protection locked="0"/>
    </xf>
    <xf numFmtId="14" fontId="40" fillId="0" borderId="0" xfId="1" applyNumberFormat="1" applyFont="1" applyFill="1" applyBorder="1" applyAlignment="1" applyProtection="1">
      <protection locked="0"/>
    </xf>
    <xf numFmtId="3" fontId="40" fillId="0" borderId="0" xfId="1" applyNumberFormat="1" applyFont="1" applyFill="1" applyBorder="1" applyAlignment="1" applyProtection="1">
      <protection locked="0"/>
    </xf>
    <xf numFmtId="3" fontId="40" fillId="0" borderId="0" xfId="2" applyNumberFormat="1" applyFont="1" applyFill="1" applyBorder="1" applyAlignment="1" applyProtection="1">
      <protection locked="0"/>
    </xf>
    <xf numFmtId="0" fontId="40" fillId="0" borderId="0" xfId="0" applyFont="1" applyAlignment="1" applyProtection="1">
      <alignment horizontal="center"/>
      <protection locked="0"/>
    </xf>
    <xf numFmtId="0" fontId="40" fillId="0" borderId="0" xfId="0" applyFont="1" applyProtection="1">
      <protection locked="0"/>
    </xf>
    <xf numFmtId="14" fontId="40" fillId="0" borderId="0" xfId="0" applyNumberFormat="1" applyFont="1" applyProtection="1">
      <protection locked="0"/>
    </xf>
    <xf numFmtId="1" fontId="40" fillId="0" borderId="0" xfId="0" applyNumberFormat="1" applyFont="1" applyAlignment="1" applyProtection="1">
      <alignment horizontal="center"/>
      <protection locked="0"/>
    </xf>
    <xf numFmtId="3" fontId="41" fillId="0" borderId="0" xfId="1" applyNumberFormat="1" applyFont="1" applyFill="1" applyBorder="1" applyAlignment="1" applyProtection="1">
      <alignment wrapText="1"/>
      <protection locked="0"/>
    </xf>
    <xf numFmtId="5" fontId="4" fillId="8" borderId="0" xfId="2" applyNumberFormat="1" applyFont="1" applyFill="1" applyBorder="1" applyAlignment="1" applyProtection="1">
      <alignment horizontal="center"/>
      <protection locked="0"/>
    </xf>
    <xf numFmtId="3" fontId="4" fillId="0" borderId="0" xfId="1" applyNumberFormat="1" applyFont="1" applyFill="1" applyBorder="1" applyAlignment="1" applyProtection="1">
      <protection locked="0"/>
    </xf>
    <xf numFmtId="1" fontId="10" fillId="0" borderId="0" xfId="0" applyNumberFormat="1" applyFont="1" applyAlignment="1" applyProtection="1">
      <alignment horizontal="center"/>
      <protection locked="0"/>
    </xf>
    <xf numFmtId="0" fontId="0" fillId="0" borderId="0" xfId="0" applyAlignment="1" applyProtection="1">
      <alignment horizontal="center"/>
      <protection locked="0"/>
    </xf>
    <xf numFmtId="1" fontId="0" fillId="0" borderId="11" xfId="0" applyNumberFormat="1" applyBorder="1" applyProtection="1">
      <protection locked="0"/>
    </xf>
    <xf numFmtId="0" fontId="10" fillId="0" borderId="10" xfId="0" applyFont="1" applyBorder="1" applyAlignment="1" applyProtection="1">
      <alignment horizontal="center"/>
      <protection locked="0"/>
    </xf>
    <xf numFmtId="0" fontId="10" fillId="0" borderId="11" xfId="0" applyFont="1" applyBorder="1" applyAlignment="1" applyProtection="1">
      <alignment horizontal="center"/>
      <protection locked="0"/>
    </xf>
    <xf numFmtId="170" fontId="4" fillId="0" borderId="10" xfId="0" applyNumberFormat="1" applyFont="1" applyBorder="1" applyAlignment="1" applyProtection="1">
      <alignment horizontal="center"/>
      <protection locked="0"/>
    </xf>
    <xf numFmtId="170" fontId="4" fillId="0" borderId="11" xfId="0" applyNumberFormat="1" applyFont="1" applyBorder="1" applyAlignment="1" applyProtection="1">
      <alignment horizontal="center"/>
      <protection locked="0"/>
    </xf>
    <xf numFmtId="2" fontId="4" fillId="5" borderId="10" xfId="0" applyNumberFormat="1" applyFont="1" applyFill="1" applyBorder="1" applyAlignment="1" applyProtection="1">
      <alignment horizontal="center"/>
      <protection locked="0"/>
    </xf>
    <xf numFmtId="14" fontId="4" fillId="0" borderId="0" xfId="0" applyNumberFormat="1" applyFont="1" applyAlignment="1" applyProtection="1">
      <alignment horizontal="center"/>
      <protection locked="0"/>
    </xf>
    <xf numFmtId="14" fontId="4" fillId="0" borderId="11" xfId="0" applyNumberFormat="1" applyFont="1" applyBorder="1" applyAlignment="1" applyProtection="1">
      <alignment horizontal="center"/>
      <protection locked="0"/>
    </xf>
    <xf numFmtId="1" fontId="10" fillId="0" borderId="12" xfId="0" applyNumberFormat="1" applyFont="1" applyBorder="1" applyAlignment="1" applyProtection="1">
      <alignment horizontal="center"/>
      <protection locked="0"/>
    </xf>
    <xf numFmtId="1" fontId="10" fillId="0" borderId="1" xfId="0" applyNumberFormat="1" applyFont="1" applyBorder="1" applyAlignment="1" applyProtection="1">
      <alignment horizontal="center"/>
      <protection locked="0"/>
    </xf>
    <xf numFmtId="1" fontId="10" fillId="0" borderId="13" xfId="0" applyNumberFormat="1" applyFont="1" applyBorder="1" applyAlignment="1" applyProtection="1">
      <alignment horizontal="center"/>
      <protection locked="0"/>
    </xf>
    <xf numFmtId="165" fontId="0" fillId="5" borderId="0" xfId="0" applyNumberFormat="1" applyFill="1" applyAlignment="1" applyProtection="1">
      <alignment horizontal="center"/>
      <protection locked="0"/>
    </xf>
    <xf numFmtId="5" fontId="0" fillId="5" borderId="0" xfId="2" applyNumberFormat="1" applyFont="1" applyFill="1" applyBorder="1" applyAlignment="1" applyProtection="1">
      <alignment horizontal="center"/>
      <protection locked="0"/>
    </xf>
    <xf numFmtId="5" fontId="0" fillId="5" borderId="0" xfId="2" applyNumberFormat="1" applyFont="1" applyFill="1" applyBorder="1" applyAlignment="1" applyProtection="1">
      <alignment horizontal="center"/>
    </xf>
    <xf numFmtId="0" fontId="5" fillId="0" borderId="0" xfId="0" applyFont="1" applyAlignment="1" applyProtection="1">
      <alignment horizontal="left"/>
      <protection locked="0"/>
    </xf>
    <xf numFmtId="2" fontId="0" fillId="0" borderId="0" xfId="0" applyNumberFormat="1" applyAlignment="1" applyProtection="1">
      <alignment horizontal="center"/>
      <protection locked="0"/>
    </xf>
    <xf numFmtId="2" fontId="0" fillId="5" borderId="0" xfId="0" applyNumberFormat="1" applyFill="1" applyAlignment="1" applyProtection="1">
      <alignment horizontal="center"/>
      <protection locked="0"/>
    </xf>
    <xf numFmtId="5" fontId="5" fillId="2" borderId="0" xfId="2" applyNumberFormat="1" applyFont="1" applyFill="1" applyBorder="1" applyAlignment="1" applyProtection="1">
      <alignment horizontal="center"/>
      <protection locked="0"/>
    </xf>
    <xf numFmtId="165" fontId="4" fillId="0" borderId="0" xfId="2" applyNumberFormat="1" applyFont="1" applyBorder="1" applyAlignment="1" applyProtection="1">
      <alignment horizontal="center"/>
      <protection locked="0"/>
    </xf>
    <xf numFmtId="5" fontId="5" fillId="5" borderId="0" xfId="2" applyNumberFormat="1" applyFont="1" applyFill="1" applyBorder="1" applyAlignment="1" applyProtection="1">
      <alignment horizontal="center"/>
      <protection locked="0"/>
    </xf>
    <xf numFmtId="165" fontId="5" fillId="5" borderId="0" xfId="0" applyNumberFormat="1" applyFont="1" applyFill="1" applyAlignment="1" applyProtection="1">
      <alignment horizontal="center"/>
      <protection locked="0"/>
    </xf>
    <xf numFmtId="165" fontId="5" fillId="2" borderId="0" xfId="2" applyNumberFormat="1" applyFont="1" applyFill="1" applyBorder="1" applyAlignment="1" applyProtection="1">
      <alignment horizontal="center"/>
      <protection locked="0"/>
    </xf>
    <xf numFmtId="0" fontId="24" fillId="0" borderId="0" xfId="0" applyFont="1" applyProtection="1">
      <protection locked="0"/>
    </xf>
    <xf numFmtId="0" fontId="4" fillId="0" borderId="0" xfId="0" applyFont="1" applyAlignment="1" applyProtection="1">
      <alignment horizontal="left"/>
      <protection locked="0"/>
    </xf>
    <xf numFmtId="0" fontId="5" fillId="0" borderId="0" xfId="0" applyFont="1" applyAlignment="1" applyProtection="1">
      <alignment horizontal="center"/>
      <protection locked="0"/>
    </xf>
    <xf numFmtId="165" fontId="37" fillId="0" borderId="0" xfId="0" applyNumberFormat="1" applyFont="1" applyAlignment="1" applyProtection="1">
      <alignment horizontal="center"/>
      <protection locked="0"/>
    </xf>
    <xf numFmtId="2" fontId="0" fillId="0" borderId="0" xfId="0" applyNumberFormat="1" applyProtection="1">
      <protection locked="0"/>
    </xf>
    <xf numFmtId="166" fontId="0" fillId="0" borderId="0" xfId="0" applyNumberFormat="1" applyProtection="1">
      <protection locked="0"/>
    </xf>
    <xf numFmtId="166" fontId="4" fillId="0" borderId="0" xfId="0" applyNumberFormat="1" applyFont="1" applyProtection="1">
      <protection locked="0"/>
    </xf>
    <xf numFmtId="0" fontId="32" fillId="0" borderId="0" xfId="0" applyFont="1" applyProtection="1">
      <protection locked="0"/>
    </xf>
    <xf numFmtId="44" fontId="4" fillId="0" borderId="0" xfId="2" applyFont="1" applyBorder="1" applyProtection="1">
      <protection locked="0"/>
    </xf>
    <xf numFmtId="0" fontId="5" fillId="2" borderId="0" xfId="0" applyFont="1" applyFill="1" applyProtection="1">
      <protection locked="0"/>
    </xf>
    <xf numFmtId="0" fontId="5" fillId="2" borderId="0" xfId="0" applyFont="1" applyFill="1" applyAlignment="1" applyProtection="1">
      <alignment horizontal="left"/>
      <protection locked="0"/>
    </xf>
    <xf numFmtId="0" fontId="5" fillId="2" borderId="0" xfId="0" applyFont="1" applyFill="1" applyAlignment="1" applyProtection="1">
      <alignment horizontal="right"/>
      <protection locked="0"/>
    </xf>
    <xf numFmtId="10" fontId="0" fillId="0" borderId="0" xfId="0" applyNumberFormat="1" applyProtection="1">
      <protection locked="0"/>
    </xf>
    <xf numFmtId="10" fontId="0" fillId="0" borderId="0" xfId="10" applyNumberFormat="1" applyFont="1" applyBorder="1" applyProtection="1">
      <protection locked="0"/>
    </xf>
    <xf numFmtId="0" fontId="4" fillId="2" borderId="0" xfId="0" applyFont="1" applyFill="1" applyProtection="1">
      <protection locked="0"/>
    </xf>
    <xf numFmtId="0" fontId="5" fillId="0" borderId="1" xfId="0" applyFont="1" applyBorder="1" applyAlignment="1" applyProtection="1">
      <alignment horizontal="center"/>
      <protection locked="0"/>
    </xf>
    <xf numFmtId="0" fontId="0" fillId="0" borderId="1" xfId="0" applyBorder="1" applyAlignment="1" applyProtection="1">
      <alignment horizontal="left"/>
      <protection locked="0"/>
    </xf>
    <xf numFmtId="0" fontId="0" fillId="0" borderId="13" xfId="0" applyBorder="1" applyAlignment="1" applyProtection="1">
      <alignment horizontal="left"/>
      <protection locked="0"/>
    </xf>
    <xf numFmtId="0" fontId="0" fillId="0" borderId="11" xfId="0" applyBorder="1" applyProtection="1">
      <protection locked="0"/>
    </xf>
    <xf numFmtId="0" fontId="31" fillId="0" borderId="0" xfId="11" applyFill="1"/>
    <xf numFmtId="0" fontId="1" fillId="0" borderId="0" xfId="4" applyFont="1"/>
    <xf numFmtId="166" fontId="31" fillId="0" borderId="0" xfId="11" applyNumberFormat="1"/>
    <xf numFmtId="0" fontId="42" fillId="0" borderId="0" xfId="0" applyFont="1"/>
    <xf numFmtId="0" fontId="31" fillId="0" borderId="0" xfId="11" applyProtection="1">
      <protection locked="0"/>
    </xf>
    <xf numFmtId="0" fontId="4" fillId="10" borderId="5" xfId="0" applyFont="1" applyFill="1" applyBorder="1"/>
    <xf numFmtId="38" fontId="4" fillId="0" borderId="3" xfId="1" applyNumberFormat="1" applyFont="1" applyFill="1" applyBorder="1"/>
    <xf numFmtId="38" fontId="4" fillId="0" borderId="3" xfId="0" applyNumberFormat="1" applyFont="1" applyBorder="1"/>
    <xf numFmtId="0" fontId="10" fillId="10" borderId="4" xfId="0" applyFont="1" applyFill="1" applyBorder="1"/>
    <xf numFmtId="0" fontId="10" fillId="0" borderId="3" xfId="0" applyFont="1" applyBorder="1"/>
    <xf numFmtId="0" fontId="37" fillId="0" borderId="3" xfId="0" applyFont="1" applyBorder="1"/>
    <xf numFmtId="9" fontId="10" fillId="0" borderId="3" xfId="0" applyNumberFormat="1" applyFont="1" applyBorder="1"/>
    <xf numFmtId="0" fontId="37" fillId="0" borderId="0" xfId="0" applyFont="1"/>
    <xf numFmtId="0" fontId="37" fillId="11" borderId="0" xfId="0" applyFont="1" applyFill="1"/>
    <xf numFmtId="4" fontId="37" fillId="11" borderId="0" xfId="0" applyNumberFormat="1" applyFont="1" applyFill="1"/>
    <xf numFmtId="38" fontId="4" fillId="0" borderId="0" xfId="0" applyNumberFormat="1" applyFont="1"/>
    <xf numFmtId="38" fontId="4" fillId="0" borderId="0" xfId="1" applyNumberFormat="1" applyFont="1" applyFill="1" applyBorder="1"/>
    <xf numFmtId="0" fontId="37" fillId="10" borderId="5" xfId="0" applyFont="1" applyFill="1" applyBorder="1"/>
    <xf numFmtId="0" fontId="31" fillId="0" borderId="0" xfId="11" applyAlignment="1" applyProtection="1">
      <alignment horizontal="left"/>
      <protection locked="0"/>
    </xf>
    <xf numFmtId="6" fontId="31" fillId="0" borderId="0" xfId="11" applyNumberFormat="1" applyAlignment="1" applyProtection="1">
      <alignment horizontal="left"/>
      <protection locked="0"/>
    </xf>
    <xf numFmtId="0" fontId="40" fillId="0" borderId="0" xfId="0" applyFont="1" applyAlignment="1" applyProtection="1">
      <alignment horizontal="center"/>
      <protection locked="0"/>
    </xf>
    <xf numFmtId="0" fontId="4" fillId="0" borderId="0" xfId="0" applyFont="1" applyAlignment="1" applyProtection="1">
      <alignment horizontal="center"/>
      <protection locked="0"/>
    </xf>
    <xf numFmtId="0" fontId="0" fillId="0" borderId="0" xfId="0" applyAlignment="1" applyProtection="1">
      <alignment horizontal="center"/>
      <protection locked="0"/>
    </xf>
    <xf numFmtId="0" fontId="30" fillId="5" borderId="0" xfId="0" applyFont="1" applyFill="1" applyAlignment="1" applyProtection="1">
      <alignment horizontal="center" vertical="center"/>
      <protection locked="0"/>
    </xf>
    <xf numFmtId="5" fontId="39" fillId="0" borderId="0" xfId="11" applyNumberFormat="1" applyFont="1" applyBorder="1" applyAlignment="1" applyProtection="1">
      <alignment horizontal="center"/>
      <protection locked="0"/>
    </xf>
    <xf numFmtId="0" fontId="5" fillId="0" borderId="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0" xfId="0" applyFont="1" applyAlignment="1" applyProtection="1">
      <alignment horizontal="left"/>
      <protection locked="0"/>
    </xf>
    <xf numFmtId="0" fontId="5" fillId="0" borderId="11" xfId="0" applyFont="1" applyBorder="1" applyAlignment="1" applyProtection="1">
      <alignment horizontal="left"/>
      <protection locked="0"/>
    </xf>
    <xf numFmtId="0" fontId="28" fillId="0" borderId="0" xfId="0" applyFont="1" applyAlignment="1">
      <alignment horizontal="left" wrapText="1"/>
    </xf>
    <xf numFmtId="49" fontId="0" fillId="0" borderId="3" xfId="0" applyNumberFormat="1" applyBorder="1" applyAlignment="1">
      <alignment horizontal="left"/>
    </xf>
    <xf numFmtId="49" fontId="4" fillId="0" borderId="3" xfId="0" applyNumberFormat="1" applyFont="1" applyBorder="1" applyAlignment="1">
      <alignment horizontal="left"/>
    </xf>
    <xf numFmtId="1" fontId="0" fillId="0" borderId="2" xfId="0" applyNumberFormat="1" applyBorder="1" applyAlignment="1">
      <alignment horizontal="left"/>
    </xf>
    <xf numFmtId="1" fontId="0" fillId="0" borderId="5" xfId="0" applyNumberFormat="1" applyBorder="1" applyAlignment="1">
      <alignment horizontal="left"/>
    </xf>
    <xf numFmtId="1" fontId="0" fillId="0" borderId="4" xfId="0" applyNumberFormat="1" applyBorder="1" applyAlignment="1">
      <alignment horizontal="left"/>
    </xf>
    <xf numFmtId="0" fontId="29" fillId="0" borderId="0" xfId="0" applyFont="1" applyAlignment="1">
      <alignment horizontal="right"/>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43" fillId="9" borderId="0" xfId="0" applyFont="1" applyFill="1" applyAlignment="1">
      <alignment horizontal="center"/>
    </xf>
    <xf numFmtId="0" fontId="43" fillId="12" borderId="0" xfId="0" applyFont="1" applyFill="1" applyAlignment="1">
      <alignment horizontal="center"/>
    </xf>
  </cellXfs>
  <cellStyles count="13">
    <cellStyle name="Comma" xfId="1" builtinId="3"/>
    <cellStyle name="Comma 2" xfId="8" xr:uid="{B970AFA6-AC0F-486E-9F64-B560C973511B}"/>
    <cellStyle name="Currency" xfId="2" builtinId="4"/>
    <cellStyle name="Excel Built-in Normal" xfId="3" xr:uid="{00000000-0005-0000-0000-000002000000}"/>
    <cellStyle name="Hyperlink" xfId="11" builtinId="8"/>
    <cellStyle name="Normal" xfId="0" builtinId="0"/>
    <cellStyle name="Normal 2" xfId="4" xr:uid="{00000000-0005-0000-0000-000004000000}"/>
    <cellStyle name="Normal 2 2" xfId="12" xr:uid="{EB62B014-C8D1-4492-A3FA-D81BEBA27072}"/>
    <cellStyle name="Normal 3" xfId="5" xr:uid="{00000000-0005-0000-0000-000005000000}"/>
    <cellStyle name="Normal 4" xfId="7" xr:uid="{CAD654DD-F13E-47DF-9AD3-CAD5503EEA74}"/>
    <cellStyle name="Normal 5" xfId="9" xr:uid="{AED9028B-6F74-4D6D-8621-F4D09DA3509C}"/>
    <cellStyle name="Percent" xfId="6" builtinId="5"/>
    <cellStyle name="Percent 2" xfId="10" xr:uid="{2A3D6A60-ACAA-49A5-B414-CB470D876A4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14</xdr:col>
      <xdr:colOff>304800</xdr:colOff>
      <xdr:row>0</xdr:row>
      <xdr:rowOff>0</xdr:rowOff>
    </xdr:from>
    <xdr:to>
      <xdr:col>21</xdr:col>
      <xdr:colOff>458031</xdr:colOff>
      <xdr:row>56</xdr:row>
      <xdr:rowOff>67348</xdr:rowOff>
    </xdr:to>
    <xdr:grpSp>
      <xdr:nvGrpSpPr>
        <xdr:cNvPr id="4" name="Group 3">
          <a:extLst>
            <a:ext uri="{FF2B5EF4-FFF2-40B4-BE49-F238E27FC236}">
              <a16:creationId xmlns:a16="http://schemas.microsoft.com/office/drawing/2014/main" id="{9DF7946A-BCEF-CB26-29A4-F0A909C27BB3}"/>
            </a:ext>
          </a:extLst>
        </xdr:cNvPr>
        <xdr:cNvGrpSpPr/>
      </xdr:nvGrpSpPr>
      <xdr:grpSpPr>
        <a:xfrm>
          <a:off x="17106900" y="0"/>
          <a:ext cx="5953956" cy="11202073"/>
          <a:chOff x="12906375" y="2162175"/>
          <a:chExt cx="5953956" cy="11202073"/>
        </a:xfrm>
      </xdr:grpSpPr>
      <xdr:pic>
        <xdr:nvPicPr>
          <xdr:cNvPr id="2" name="Picture 1">
            <a:extLst>
              <a:ext uri="{FF2B5EF4-FFF2-40B4-BE49-F238E27FC236}">
                <a16:creationId xmlns:a16="http://schemas.microsoft.com/office/drawing/2014/main" id="{CD30AC0E-1998-9962-1CB9-12D958A0CB48}"/>
              </a:ext>
            </a:extLst>
          </xdr:cNvPr>
          <xdr:cNvPicPr>
            <a:picLocks noChangeAspect="1"/>
          </xdr:cNvPicPr>
        </xdr:nvPicPr>
        <xdr:blipFill>
          <a:blip xmlns:r="http://schemas.openxmlformats.org/officeDocument/2006/relationships" r:embed="rId1"/>
          <a:stretch>
            <a:fillRect/>
          </a:stretch>
        </xdr:blipFill>
        <xdr:spPr>
          <a:xfrm>
            <a:off x="12906375" y="2162175"/>
            <a:ext cx="5953956" cy="6363588"/>
          </a:xfrm>
          <a:prstGeom prst="rect">
            <a:avLst/>
          </a:prstGeom>
        </xdr:spPr>
      </xdr:pic>
      <xdr:pic>
        <xdr:nvPicPr>
          <xdr:cNvPr id="3" name="Picture 2">
            <a:extLst>
              <a:ext uri="{FF2B5EF4-FFF2-40B4-BE49-F238E27FC236}">
                <a16:creationId xmlns:a16="http://schemas.microsoft.com/office/drawing/2014/main" id="{FE30118B-9374-25B2-F9F3-A9A8F4DD33C0}"/>
              </a:ext>
            </a:extLst>
          </xdr:cNvPr>
          <xdr:cNvPicPr>
            <a:picLocks noChangeAspect="1"/>
          </xdr:cNvPicPr>
        </xdr:nvPicPr>
        <xdr:blipFill>
          <a:blip xmlns:r="http://schemas.openxmlformats.org/officeDocument/2006/relationships" r:embed="rId2"/>
          <a:stretch>
            <a:fillRect/>
          </a:stretch>
        </xdr:blipFill>
        <xdr:spPr>
          <a:xfrm>
            <a:off x="13115955" y="8543925"/>
            <a:ext cx="5534797" cy="4820323"/>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114300</xdr:colOff>
      <xdr:row>9</xdr:row>
      <xdr:rowOff>152400</xdr:rowOff>
    </xdr:from>
    <xdr:to>
      <xdr:col>18</xdr:col>
      <xdr:colOff>361950</xdr:colOff>
      <xdr:row>47</xdr:row>
      <xdr:rowOff>152054</xdr:rowOff>
    </xdr:to>
    <xdr:pic>
      <xdr:nvPicPr>
        <xdr:cNvPr id="2" name="Picture 1">
          <a:extLst>
            <a:ext uri="{FF2B5EF4-FFF2-40B4-BE49-F238E27FC236}">
              <a16:creationId xmlns:a16="http://schemas.microsoft.com/office/drawing/2014/main" id="{3F91D968-2D05-57A5-E3F1-FB68AFB1171D}"/>
            </a:ext>
          </a:extLst>
        </xdr:cNvPr>
        <xdr:cNvPicPr>
          <a:picLocks noChangeAspect="1"/>
        </xdr:cNvPicPr>
      </xdr:nvPicPr>
      <xdr:blipFill>
        <a:blip xmlns:r="http://schemas.openxmlformats.org/officeDocument/2006/relationships" r:embed="rId1"/>
        <a:stretch>
          <a:fillRect/>
        </a:stretch>
      </xdr:blipFill>
      <xdr:spPr>
        <a:xfrm>
          <a:off x="8486775" y="2038350"/>
          <a:ext cx="5372100" cy="63814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3324225</xdr:colOff>
      <xdr:row>0</xdr:row>
      <xdr:rowOff>9525</xdr:rowOff>
    </xdr:from>
    <xdr:to>
      <xdr:col>9</xdr:col>
      <xdr:colOff>584876</xdr:colOff>
      <xdr:row>25</xdr:row>
      <xdr:rowOff>131425</xdr:rowOff>
    </xdr:to>
    <xdr:pic>
      <xdr:nvPicPr>
        <xdr:cNvPr id="5" name="Picture 4">
          <a:extLst>
            <a:ext uri="{FF2B5EF4-FFF2-40B4-BE49-F238E27FC236}">
              <a16:creationId xmlns:a16="http://schemas.microsoft.com/office/drawing/2014/main" id="{11F2E802-5A62-9911-7617-0DC3B251A3B7}"/>
            </a:ext>
          </a:extLst>
        </xdr:cNvPr>
        <xdr:cNvPicPr>
          <a:picLocks noChangeAspect="1"/>
        </xdr:cNvPicPr>
      </xdr:nvPicPr>
      <xdr:blipFill>
        <a:blip xmlns:r="http://schemas.openxmlformats.org/officeDocument/2006/relationships" r:embed="rId1"/>
        <a:stretch>
          <a:fillRect/>
        </a:stretch>
      </xdr:blipFill>
      <xdr:spPr>
        <a:xfrm>
          <a:off x="4533900" y="9525"/>
          <a:ext cx="4871126" cy="4170025"/>
        </a:xfrm>
        <a:prstGeom prst="rect">
          <a:avLst/>
        </a:prstGeom>
      </xdr:spPr>
    </xdr:pic>
    <xdr:clientData/>
  </xdr:twoCellAnchor>
  <xdr:twoCellAnchor editAs="oneCell">
    <xdr:from>
      <xdr:col>10</xdr:col>
      <xdr:colOff>66675</xdr:colOff>
      <xdr:row>0</xdr:row>
      <xdr:rowOff>57150</xdr:rowOff>
    </xdr:from>
    <xdr:to>
      <xdr:col>16</xdr:col>
      <xdr:colOff>542925</xdr:colOff>
      <xdr:row>20</xdr:row>
      <xdr:rowOff>67711</xdr:rowOff>
    </xdr:to>
    <xdr:pic>
      <xdr:nvPicPr>
        <xdr:cNvPr id="3" name="Picture 2">
          <a:extLst>
            <a:ext uri="{FF2B5EF4-FFF2-40B4-BE49-F238E27FC236}">
              <a16:creationId xmlns:a16="http://schemas.microsoft.com/office/drawing/2014/main" id="{4D04E4D7-CE59-4583-960E-4E32A918D0A1}"/>
            </a:ext>
          </a:extLst>
        </xdr:cNvPr>
        <xdr:cNvPicPr>
          <a:picLocks noChangeAspect="1"/>
        </xdr:cNvPicPr>
      </xdr:nvPicPr>
      <xdr:blipFill>
        <a:blip xmlns:r="http://schemas.openxmlformats.org/officeDocument/2006/relationships" r:embed="rId2"/>
        <a:stretch>
          <a:fillRect/>
        </a:stretch>
      </xdr:blipFill>
      <xdr:spPr>
        <a:xfrm>
          <a:off x="9496425" y="57150"/>
          <a:ext cx="4133850" cy="32490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pi.box.com/C:/Users/patwaters/Documents/Research%20Reference/budget_and_cost_share_worksheet_20190424%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Budget"/>
      <sheetName val="Sheet1"/>
      <sheetName val="Sheet2"/>
      <sheetName val="Formulas"/>
      <sheetName val="budget_and_cost_share_worksheet"/>
    </sheetNames>
    <sheetDataSet>
      <sheetData sheetId="0"/>
      <sheetData sheetId="1">
        <row r="12">
          <cell r="A12" t="str">
            <v>Barton, Mark D</v>
          </cell>
        </row>
      </sheetData>
      <sheetData sheetId="2">
        <row r="2">
          <cell r="B2">
            <v>0.2</v>
          </cell>
        </row>
      </sheetData>
      <sheetData sheetId="3">
        <row r="1">
          <cell r="A1" t="str">
            <v>AC1</v>
          </cell>
        </row>
        <row r="2">
          <cell r="A2" t="str">
            <v>AC2</v>
          </cell>
        </row>
        <row r="3">
          <cell r="A3" t="str">
            <v>AC3</v>
          </cell>
        </row>
        <row r="4">
          <cell r="A4" t="str">
            <v>AC4</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new.nsf.gov/policies/pappg/24-1/ch-2-proposal-preparation" TargetMode="External"/><Relationship Id="rId3" Type="http://schemas.openxmlformats.org/officeDocument/2006/relationships/hyperlink" Target="https://new.nsf.gov/policies/pappg/23-1/ch-2-proposal-preparation" TargetMode="External"/><Relationship Id="rId7" Type="http://schemas.openxmlformats.org/officeDocument/2006/relationships/hyperlink" Target="https://new.nsf.gov/policies/pappg/24-1/ch-2-proposal-preparation" TargetMode="External"/><Relationship Id="rId2" Type="http://schemas.openxmlformats.org/officeDocument/2006/relationships/hyperlink" Target="https://grad.arizona.edu/funding/ga/supplemental-compensation" TargetMode="External"/><Relationship Id="rId1" Type="http://schemas.openxmlformats.org/officeDocument/2006/relationships/hyperlink" Target="https://policy.arizona.edu/employment-human-resources/allowable-work-hours-student-workers" TargetMode="External"/><Relationship Id="rId6" Type="http://schemas.openxmlformats.org/officeDocument/2006/relationships/hyperlink" Target="https://grad.arizona.edu/funding/ga/supplemental-compensation" TargetMode="External"/><Relationship Id="rId11" Type="http://schemas.openxmlformats.org/officeDocument/2006/relationships/printerSettings" Target="../printerSettings/printerSettings1.bin"/><Relationship Id="rId5" Type="http://schemas.openxmlformats.org/officeDocument/2006/relationships/hyperlink" Target="https://new.nsf.gov/policies/pappg/23-1/ch-2-proposal-preparation" TargetMode="External"/><Relationship Id="rId10" Type="http://schemas.openxmlformats.org/officeDocument/2006/relationships/hyperlink" Target="https://grants.nih.gov/grants/guide/notice-files/NOT-OD-25-085.html" TargetMode="External"/><Relationship Id="rId4" Type="http://schemas.openxmlformats.org/officeDocument/2006/relationships/hyperlink" Target="https://research.arizona.edu/administration/build-budget/budget-categories/other-costs" TargetMode="External"/><Relationship Id="rId9" Type="http://schemas.openxmlformats.org/officeDocument/2006/relationships/hyperlink" Target="https://financialservices.arizona.edu/sites/default/files/2024-05/ru6990-23_university_of_arizona_ra_v2_signed.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chrome-extension://efaidnbmnnnibpcajpcglclefindmkaj/https:/des.az.gov/sites/default/files/media/IB-24-022-Increase-in-Arizonas-Minimum-Wage-2025.pdf" TargetMode="External"/><Relationship Id="rId1" Type="http://schemas.openxmlformats.org/officeDocument/2006/relationships/hyperlink" Target="https://hr.arizona.edu/news/2024/student-worker-minimum-wage-increasing-2025"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policy.fso.arizona.edu/fsm/1400/1415" TargetMode="External"/><Relationship Id="rId13" Type="http://schemas.openxmlformats.org/officeDocument/2006/relationships/hyperlink" Target="https://step.state.gov/step/" TargetMode="External"/><Relationship Id="rId3" Type="http://schemas.openxmlformats.org/officeDocument/2006/relationships/hyperlink" Target="https://www.skyharbor.com/parking/parking-rates-directions/" TargetMode="External"/><Relationship Id="rId7" Type="http://schemas.openxmlformats.org/officeDocument/2006/relationships/hyperlink" Target="https://www.tripadvisor.com/AirlineFees" TargetMode="External"/><Relationship Id="rId12" Type="http://schemas.openxmlformats.org/officeDocument/2006/relationships/hyperlink" Target="https://risk.arizona.edu/insurance/international-travel" TargetMode="External"/><Relationship Id="rId2" Type="http://schemas.openxmlformats.org/officeDocument/2006/relationships/hyperlink" Target="https://www.flytucson.com/transportation/parking/" TargetMode="External"/><Relationship Id="rId16" Type="http://schemas.openxmlformats.org/officeDocument/2006/relationships/printerSettings" Target="../printerSettings/printerSettings3.bin"/><Relationship Id="rId1" Type="http://schemas.openxmlformats.org/officeDocument/2006/relationships/hyperlink" Target="https://gao.az.gov/sites/default/files/2025-01/5095%20Reimbursement%20Rates%20250127.pdf" TargetMode="External"/><Relationship Id="rId6" Type="http://schemas.openxmlformats.org/officeDocument/2006/relationships/hyperlink" Target="https://www.gsa.gov/plan-book/transportation-airfare-pov-etc/airfare-rates-city-pair-program" TargetMode="External"/><Relationship Id="rId11" Type="http://schemas.openxmlformats.org/officeDocument/2006/relationships/hyperlink" Target="https://www.geo.arizona.edu/business-center-travel" TargetMode="External"/><Relationship Id="rId5" Type="http://schemas.openxmlformats.org/officeDocument/2006/relationships/hyperlink" Target="https://aoprals.state.gov/web920/per_diem.asp" TargetMode="External"/><Relationship Id="rId15" Type="http://schemas.openxmlformats.org/officeDocument/2006/relationships/hyperlink" Target="https://www.fm.arizona.edu/" TargetMode="External"/><Relationship Id="rId10" Type="http://schemas.openxmlformats.org/officeDocument/2006/relationships/hyperlink" Target="https://financialservices.arizona.edu/travel" TargetMode="External"/><Relationship Id="rId4" Type="http://schemas.openxmlformats.org/officeDocument/2006/relationships/hyperlink" Target="https://financialservices.arizona.edu/purchasing/vendors/vehicle-rental" TargetMode="External"/><Relationship Id="rId9" Type="http://schemas.openxmlformats.org/officeDocument/2006/relationships/hyperlink" Target="https://www.travel.dod.mil/Travel-Transportation-Rates/Per-Diem/Per-Diem-Rate-Lookup/" TargetMode="External"/><Relationship Id="rId14" Type="http://schemas.openxmlformats.org/officeDocument/2006/relationships/hyperlink" Target="https://international.arizona.edu/travel/emergency-incident-support"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grants.nih.gov/grants/guide/notice-files/NOT-OD-25-105.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0AC71-F136-4146-A33C-962A5AC49338}">
  <sheetPr codeName="Sheet1">
    <pageSetUpPr fitToPage="1"/>
  </sheetPr>
  <dimension ref="A1:Y114"/>
  <sheetViews>
    <sheetView tabSelected="1" workbookViewId="0">
      <selection activeCell="B37" sqref="B37"/>
    </sheetView>
  </sheetViews>
  <sheetFormatPr defaultColWidth="8.7109375" defaultRowHeight="12.75"/>
  <cols>
    <col min="1" max="1" width="43.7109375" style="99" customWidth="1"/>
    <col min="2" max="2" width="23.5703125" style="99" bestFit="1" customWidth="1"/>
    <col min="3" max="8" width="7.7109375" style="99" customWidth="1"/>
    <col min="9" max="13" width="11.42578125" style="99" bestFit="1" customWidth="1"/>
    <col min="14" max="14" width="12.5703125" style="103" customWidth="1"/>
    <col min="15" max="15" width="12.5703125" style="103" hidden="1" customWidth="1"/>
    <col min="16" max="16" width="12.7109375" style="101" customWidth="1"/>
    <col min="17" max="17" width="9.140625" style="99" customWidth="1"/>
    <col min="18" max="18" width="10.28515625" style="102" bestFit="1" customWidth="1"/>
    <col min="19" max="21" width="9.140625" style="103" customWidth="1"/>
    <col min="22" max="16384" width="8.7109375" style="99"/>
  </cols>
  <sheetData>
    <row r="1" spans="1:25" ht="23.25">
      <c r="A1" s="225" t="s">
        <v>0</v>
      </c>
      <c r="C1" s="267" t="s">
        <v>178</v>
      </c>
      <c r="D1" s="267"/>
      <c r="E1" s="267"/>
      <c r="F1" s="267"/>
      <c r="G1" s="267"/>
      <c r="H1" s="202"/>
      <c r="I1" s="269" t="s">
        <v>207</v>
      </c>
      <c r="J1" s="270"/>
      <c r="K1" s="270"/>
      <c r="L1" s="270"/>
      <c r="M1" s="270"/>
      <c r="N1" s="271"/>
      <c r="P1" s="100" t="s">
        <v>197</v>
      </c>
      <c r="Q1" s="262" t="s">
        <v>210</v>
      </c>
      <c r="R1" s="262"/>
      <c r="S1" s="262"/>
      <c r="T1" s="262"/>
      <c r="U1" s="262"/>
      <c r="V1" s="262"/>
    </row>
    <row r="2" spans="1:25" ht="14.25" customHeight="1">
      <c r="A2" s="272" t="s">
        <v>1</v>
      </c>
      <c r="B2" s="272"/>
      <c r="C2" s="272"/>
      <c r="D2" s="272"/>
      <c r="E2" s="272"/>
      <c r="F2" s="272"/>
      <c r="G2" s="272"/>
      <c r="H2" s="272"/>
      <c r="I2" s="204" t="s">
        <v>198</v>
      </c>
      <c r="J2" s="201"/>
      <c r="K2" s="201"/>
      <c r="L2" s="201"/>
      <c r="M2" s="201"/>
      <c r="N2" s="205" t="s">
        <v>199</v>
      </c>
      <c r="O2" s="180"/>
      <c r="Q2" s="248" t="s">
        <v>239</v>
      </c>
      <c r="R2" s="262"/>
      <c r="S2" s="262"/>
      <c r="T2" s="262"/>
      <c r="U2" s="262"/>
      <c r="V2" s="262"/>
    </row>
    <row r="3" spans="1:25" ht="14.25" customHeight="1">
      <c r="A3" s="272" t="s">
        <v>2</v>
      </c>
      <c r="B3" s="272"/>
      <c r="C3" s="272"/>
      <c r="D3" s="272"/>
      <c r="E3" s="272"/>
      <c r="F3" s="272"/>
      <c r="G3" s="272"/>
      <c r="H3" s="272"/>
      <c r="I3" s="206">
        <v>45839</v>
      </c>
      <c r="J3" s="202"/>
      <c r="K3" s="202"/>
      <c r="L3" s="202"/>
      <c r="M3" s="202"/>
      <c r="N3" s="207">
        <v>47664</v>
      </c>
      <c r="Q3" s="262" t="s">
        <v>209</v>
      </c>
      <c r="R3" s="116"/>
      <c r="S3" s="116"/>
      <c r="T3" s="116"/>
      <c r="U3" s="116"/>
      <c r="V3" s="116"/>
    </row>
    <row r="4" spans="1:25">
      <c r="H4" s="243"/>
      <c r="I4" s="204" t="s">
        <v>200</v>
      </c>
      <c r="N4" s="203"/>
      <c r="Q4" s="116" t="s">
        <v>173</v>
      </c>
      <c r="R4" s="262"/>
      <c r="S4" s="262"/>
      <c r="T4" s="262"/>
      <c r="U4" s="262"/>
      <c r="V4" s="262"/>
    </row>
    <row r="5" spans="1:25">
      <c r="A5" s="272" t="str">
        <f>"Period of Performance: "&amp;TEXT(I3, "mm/dd/yy")&amp;" - "&amp;TEXT(N3, "mm/dd/yy")&amp;" ["&amp;ROUND(I5,2)&amp; " Year(s)]"</f>
        <v>Period of Performance: 07/01/25 - 06/30/30 [5 Year(s)]</v>
      </c>
      <c r="B5" s="272"/>
      <c r="C5" s="272"/>
      <c r="D5" s="272"/>
      <c r="E5" s="272"/>
      <c r="F5" s="272"/>
      <c r="G5" s="272"/>
      <c r="H5" s="273"/>
      <c r="I5" s="208">
        <f>YEARFRAC(I3,N3)</f>
        <v>4.9972222222222218</v>
      </c>
      <c r="J5" s="209"/>
      <c r="K5" s="209"/>
      <c r="L5" s="209"/>
      <c r="M5" s="209"/>
      <c r="N5" s="210"/>
      <c r="O5" s="188">
        <f>IF(MONTH(I3)&gt;6, 12+7-MONTH(I3), 7-MONTH(I3))</f>
        <v>12</v>
      </c>
      <c r="P5" s="107"/>
      <c r="Q5" s="262" t="s">
        <v>193</v>
      </c>
      <c r="R5" s="263"/>
      <c r="S5" s="263"/>
      <c r="T5" s="263"/>
      <c r="U5" s="263"/>
      <c r="V5" s="263"/>
    </row>
    <row r="6" spans="1:25">
      <c r="A6" s="241"/>
      <c r="B6" s="241"/>
      <c r="C6" s="241"/>
      <c r="D6" s="241"/>
      <c r="E6" s="241"/>
      <c r="F6" s="241"/>
      <c r="G6" s="241"/>
      <c r="H6" s="242"/>
      <c r="I6" s="211" t="s">
        <v>4</v>
      </c>
      <c r="J6" s="212" t="s">
        <v>5</v>
      </c>
      <c r="K6" s="212" t="s">
        <v>6</v>
      </c>
      <c r="L6" s="212" t="s">
        <v>7</v>
      </c>
      <c r="M6" s="212" t="s">
        <v>8</v>
      </c>
      <c r="N6" s="213" t="s">
        <v>78</v>
      </c>
      <c r="O6" s="189">
        <f>IF(DAY(I3)&gt;1,(O5-1+((DAY(DATE(YEAR(I3),MONTH(I3)+1,0))-DAY(I3))/DAY(DATE(YEAR(I3),MONTH(I3)+1,0)))),O5)</f>
        <v>12</v>
      </c>
      <c r="P6" s="110" t="s">
        <v>121</v>
      </c>
      <c r="Q6" s="263" t="s">
        <v>211</v>
      </c>
      <c r="R6" s="109"/>
    </row>
    <row r="7" spans="1:25">
      <c r="B7" s="105"/>
      <c r="C7" s="226" t="s">
        <v>208</v>
      </c>
      <c r="E7" s="105"/>
      <c r="F7" s="105"/>
      <c r="G7" s="105"/>
      <c r="I7" s="218">
        <v>1</v>
      </c>
      <c r="J7" s="218">
        <v>1.03</v>
      </c>
      <c r="K7" s="219">
        <f>J7^2</f>
        <v>1.0609</v>
      </c>
      <c r="L7" s="219">
        <f>J7^3</f>
        <v>1.092727</v>
      </c>
      <c r="M7" s="219">
        <f>J7^4</f>
        <v>1.1255088099999999</v>
      </c>
      <c r="N7" s="111"/>
      <c r="O7" s="111"/>
      <c r="Q7" s="248" t="s">
        <v>214</v>
      </c>
      <c r="R7" s="109"/>
    </row>
    <row r="8" spans="1:25">
      <c r="A8" s="104" t="s">
        <v>89</v>
      </c>
      <c r="C8" s="227" t="s">
        <v>161</v>
      </c>
      <c r="D8" s="265" t="s">
        <v>194</v>
      </c>
      <c r="E8" s="266"/>
      <c r="F8" s="266"/>
      <c r="G8" s="266"/>
      <c r="H8" s="266"/>
      <c r="I8" s="112"/>
      <c r="J8" s="112"/>
      <c r="K8" s="112"/>
      <c r="L8" s="112"/>
      <c r="M8" s="112"/>
      <c r="N8" s="112"/>
      <c r="O8" s="112"/>
    </row>
    <row r="9" spans="1:25">
      <c r="A9" s="156" t="s">
        <v>160</v>
      </c>
      <c r="B9" s="240" t="s">
        <v>123</v>
      </c>
      <c r="C9" s="240" t="s">
        <v>101</v>
      </c>
      <c r="D9" s="240" t="s">
        <v>92</v>
      </c>
      <c r="E9" s="240" t="s">
        <v>93</v>
      </c>
      <c r="F9" s="240" t="s">
        <v>94</v>
      </c>
      <c r="G9" s="240" t="s">
        <v>95</v>
      </c>
      <c r="H9" s="240" t="s">
        <v>96</v>
      </c>
      <c r="I9" s="112"/>
      <c r="J9" s="112"/>
      <c r="K9" s="112"/>
      <c r="L9" s="112"/>
      <c r="M9" s="112"/>
      <c r="N9" s="112"/>
      <c r="O9" s="112"/>
    </row>
    <row r="10" spans="1:25">
      <c r="A10" s="105" t="s">
        <v>3</v>
      </c>
      <c r="B10" s="113"/>
      <c r="C10" s="228"/>
      <c r="D10" s="229"/>
      <c r="E10" s="229"/>
      <c r="F10" s="229"/>
      <c r="G10" s="229"/>
      <c r="H10" s="229"/>
      <c r="I10" s="214">
        <f>IF($C$10="SUM",(($B$10*0.000731*456)/3)*D10*I7,IF($C$10="AY",($B$10/9)*D10*I7,IF($C$10="CAL",($B$10/12)*D10*I7,IF($C$10="Hrly",$B$10*D10*I7,0))))</f>
        <v>0</v>
      </c>
      <c r="J10" s="214">
        <f>IF($C$10="SUM",(($B$10*0.000731*456)/3)*E10*J7,IF($C$10="AY",($B$10/9)*E10*J7,IF($C$10="CAL",($B$10/12)*E10*J7,IF($C$10="Hrly",$B$10*E10*J7,0))))</f>
        <v>0</v>
      </c>
      <c r="K10" s="214">
        <f>IF($C$10="SUM",(($B$10*0.000731*456)/3)*F10*K7,IF($C$10="AY",($B$10/9)*F10*K7,IF($C$10="CAL",($B$10/12)*F10*K7,IF($C$10="Hrly",$B$10*F10*K7,0))))</f>
        <v>0</v>
      </c>
      <c r="L10" s="214">
        <f>IF($C$10="SUM",(($B$10*0.000731*456)/3)*G10*L7,IF($C$10="AY",($B$10/9)*G10*L7,IF($C$10="CAL",($B$10/12)*G10*L7,IF($C$10="Hrly",$B$10*G10*L7,0))))</f>
        <v>0</v>
      </c>
      <c r="M10" s="214">
        <f>IF($C$10="SUM",(($B$10*0.000731*456)/3)*H10*M7,IF($C$10="AY",($B$10/9)*H10*M7,IF($C$10="CAL",($B$10/12)*H10*M7,IF($C$10="Hrly",$B$10*H10*M7,0))))</f>
        <v>0</v>
      </c>
      <c r="N10" s="214">
        <f t="shared" ref="N10:N25" si="0">SUM(I10:M10)</f>
        <v>0</v>
      </c>
      <c r="O10" s="112"/>
      <c r="P10" s="103"/>
    </row>
    <row r="11" spans="1:25" s="103" customFormat="1">
      <c r="A11" s="105" t="s">
        <v>196</v>
      </c>
      <c r="B11" s="113"/>
      <c r="C11" s="228"/>
      <c r="D11" s="229"/>
      <c r="E11" s="229"/>
      <c r="F11" s="229"/>
      <c r="G11" s="229"/>
      <c r="H11" s="229"/>
      <c r="I11" s="214">
        <f>IF($C$11="SUM",(($B$11*0.000731*456)/3)*D11*I7,IF($C$11="AY",($B$11/9)*D11*I7,IF($C$11="CAL",($B$11/12)*D11*I7,IF($C$11="Hrly",$B$11*D11*I7,0))))</f>
        <v>0</v>
      </c>
      <c r="J11" s="214">
        <f>IF($C$11="SUM",(($B$11*0.000731*456)/3)*E11*J7,IF($C$11="AY",($B$11/9)*E11*J7,IF($C$11="CAL",($B$11/12)*E11*J7,IF($C$11="Hrly",$B$11*E11*J7,0))))</f>
        <v>0</v>
      </c>
      <c r="K11" s="214">
        <f>IF($C$11="SUM",(($B$11*0.000731*456)/3)*F11*K7,IF($C$11="AY",($B$11/9)*F11*K7,IF($C$11="CAL",($B$11/12)*F11*K7,IF($C$11="Hrly",$B$11*F11*K7,0))))</f>
        <v>0</v>
      </c>
      <c r="L11" s="214">
        <f>IF($C$11="SUM",(($B$11*0.000731*456)/3)*G11*L7,IF($C$11="AY",($B$11/9)*G11*L7,IF($C$11="CAL",($B$11/12)*G11*L7,IF($C$11="Hrly",$B$11*G11*L7,0))))</f>
        <v>0</v>
      </c>
      <c r="M11" s="214">
        <f>IF($C$11="SUM",(($B$11*0.000731*456)/3)*H11*M7,IF($C$11="AY",($B$11/9)*H11*M7,IF($C$11="CAL",($B$11/12)*H11*M7,IF($C$11="Hrly",$B$11*H11*M7,0))))</f>
        <v>0</v>
      </c>
      <c r="N11" s="214">
        <f t="shared" si="0"/>
        <v>0</v>
      </c>
      <c r="O11" s="112"/>
      <c r="P11" s="101"/>
      <c r="Q11" s="99"/>
      <c r="R11" s="102"/>
      <c r="V11" s="99"/>
      <c r="W11" s="99"/>
      <c r="X11" s="99"/>
      <c r="Y11" s="99"/>
    </row>
    <row r="12" spans="1:25" s="103" customFormat="1">
      <c r="A12" s="105" t="s">
        <v>196</v>
      </c>
      <c r="B12" s="113"/>
      <c r="C12" s="228"/>
      <c r="D12" s="229"/>
      <c r="E12" s="229"/>
      <c r="F12" s="229"/>
      <c r="G12" s="229"/>
      <c r="H12" s="229"/>
      <c r="I12" s="214">
        <f>IF($C$12="SUM",(($B$12*0.000731*456)/3)*D12*I7,IF($C$12="AY",($B$12/9)*D12*I7,IF($C$12="CAL",($B$12/12)*D12*I7,IF($C$12="Hrly",$B$12*D12*I7,0))))</f>
        <v>0</v>
      </c>
      <c r="J12" s="214">
        <f>IF($C$12="SUM",(($B$12*0.000731*456)/3)*E12*J7,IF($C$12="AY",($B$12/9)*E12*J7,IF($C$12="CAL",($B$12/12)*E12*J7,IF($C$12="Hrly",$B$12*E12*J7,0))))</f>
        <v>0</v>
      </c>
      <c r="K12" s="214">
        <f>IF($C$12="SUM",(($B$12*0.000731*456)/3)*F12*K7,IF($C$12="AY",($B$12/9)*F12*K7,IF($C$12="CAL",($B$12/12)*F12*K7,IF($C$12="Hrly",$B$12*F12*K7,0))))</f>
        <v>0</v>
      </c>
      <c r="L12" s="214">
        <f>IF($C$12="SUM",(($B$12*0.000731*456)/3)*G12*L7,IF($C$12="AY",($B$12/9)*G12*L7,IF($C$12="CAL",($B$12/12)*G12*L7,IF($C$12="Hrly",$B$12*G12*L7,0))))</f>
        <v>0</v>
      </c>
      <c r="M12" s="214">
        <f>IF($C$12="SUM",(($B$12*0.000731*456)/3)*H12*M7,IF($C$12="AY",($B$12/9)*H12*M7,IF($C$12="CAL",($B$12/12)*H12*M7,IF($C$12="Hrly",$B$12*H12*M7,0))))</f>
        <v>0</v>
      </c>
      <c r="N12" s="214">
        <f t="shared" si="0"/>
        <v>0</v>
      </c>
      <c r="O12" s="112"/>
      <c r="P12" s="101"/>
      <c r="Q12" s="99"/>
      <c r="R12" s="102"/>
      <c r="V12" s="99"/>
      <c r="W12" s="99"/>
      <c r="X12" s="99"/>
      <c r="Y12" s="99"/>
    </row>
    <row r="13" spans="1:25" s="103" customFormat="1">
      <c r="A13" s="105" t="s">
        <v>196</v>
      </c>
      <c r="B13" s="113"/>
      <c r="C13" s="228"/>
      <c r="D13" s="229"/>
      <c r="E13" s="229"/>
      <c r="F13" s="229"/>
      <c r="G13" s="229"/>
      <c r="H13" s="229"/>
      <c r="I13" s="214">
        <f>IF($C$13="SUM",(($B$13*0.000731*456)/3)*D13*I7,IF($C$13="AY",($B$13/9)*D13*I7,IF($C$13="CAL",($B$13/12)*D13*I7,IF($C$13="Hrly",$B$13*D13*I7,0))))</f>
        <v>0</v>
      </c>
      <c r="J13" s="214">
        <f>IF($C$13="SUM",(($B$13*0.000731*456)/3)*E13*J7,IF($C$13="AY",($B$13/9)*E13*J7,IF($C$13="CAL",($B$13/12)*E13*J7,IF($C$13="Hrly",$B$13*E13*J7,0))))</f>
        <v>0</v>
      </c>
      <c r="K13" s="214">
        <f>IF($C$13="SUM",(($B$13*0.000731*456)/3)*F13*K7,IF($C$13="AY",($B$13/9)*F13*K7,IF($C$13="CAL",($B$13/12)*F13*K7,IF($C$13="Hrly",$B$13*F13*K7,0))))</f>
        <v>0</v>
      </c>
      <c r="L13" s="214">
        <f>IF($C$13="SUM",(($B$13*0.000731*456)/3)*G13*L7,IF($C$13="AY",($B$13/9)*G13*L7,IF($C$13="CAL",($B$13/12)*G13*L7,IF($C$13="Hrly",$B$13*G13*L7,0))))</f>
        <v>0</v>
      </c>
      <c r="M13" s="214">
        <f>IF($C$13="SUM",(($B$13*0.000731*456)/3)*H13*M7,IF($C$13="AY",($B$13/9)*H13*M7,IF($C$13="CAL",($B$13/12)*H13*M7,IF($C$13="Hrly",$B$13*H13*M7,0))))</f>
        <v>0</v>
      </c>
      <c r="N13" s="214">
        <f t="shared" si="0"/>
        <v>0</v>
      </c>
      <c r="O13" s="112"/>
      <c r="P13" s="101"/>
      <c r="Q13" s="99"/>
      <c r="R13" s="102"/>
      <c r="V13" s="99"/>
      <c r="W13" s="99"/>
      <c r="X13" s="99"/>
      <c r="Y13" s="99"/>
    </row>
    <row r="14" spans="1:25" s="103" customFormat="1">
      <c r="A14" s="105" t="s">
        <v>163</v>
      </c>
      <c r="B14" s="113"/>
      <c r="C14" s="228" t="s">
        <v>172</v>
      </c>
      <c r="D14" s="229"/>
      <c r="E14" s="229"/>
      <c r="F14" s="229"/>
      <c r="G14" s="229"/>
      <c r="H14" s="229"/>
      <c r="I14" s="214">
        <f>IF($C$14="SUM",(($B$14*0.000731*456)/3)*D14*I7,IF($C$14="AY",($B$14/9)*D14*I7,IF($C$14="CAL",($B$14/12)*D14*I7,IF($C$14="Hrly",$B$14*D14*I7,0))))</f>
        <v>0</v>
      </c>
      <c r="J14" s="214">
        <f>IF($C$14="SUM",(($B$14*0.000731*456)/3)*E14*J7,IF($C$14="AY",($B$14/9)*E14*J7,IF($C$14="CAL",($B$14/12)*E14*J7,IF($C$14="Hrly",$B$14*E14*J7,0))))</f>
        <v>0</v>
      </c>
      <c r="K14" s="214">
        <f>IF($C$14="SUM",(($B$14*0.000731*456)/3)*F14*K7,IF($C$14="AY",($B$14/9)*F14*K7,IF($C$14="CAL",($B$14/12)*F14*K7,IF($C$14="Hrly",$B$14*F14*K7,0))))</f>
        <v>0</v>
      </c>
      <c r="L14" s="214">
        <f>IF($C$14="SUM",(($B$14*0.000731*456)/3)*G14*L7,IF($C$14="AY",($B$14/9)*G14*L7,IF($C$14="CAL",($B$14/12)*G14*L7,IF($C$14="Hrly",$B$14*G14*L7,0))))</f>
        <v>0</v>
      </c>
      <c r="M14" s="214">
        <f>IF($C$14="SUM",(($B$14*0.000731*456)/3)*H14*M7,IF($C$14="AY",($B$14/9)*H14*M7,IF($C$14="CAL",($B$14/12)*H14*M7,IF($C$14="Hrly",$B$14*H14*M7,0))))</f>
        <v>0</v>
      </c>
      <c r="N14" s="214">
        <f t="shared" si="0"/>
        <v>0</v>
      </c>
      <c r="O14" s="112"/>
      <c r="P14" s="114"/>
      <c r="Q14" s="99"/>
      <c r="R14" s="102"/>
      <c r="V14" s="99"/>
      <c r="W14" s="99"/>
      <c r="X14" s="99"/>
      <c r="Y14" s="99"/>
    </row>
    <row r="15" spans="1:25" s="103" customFormat="1">
      <c r="A15" s="105" t="s">
        <v>163</v>
      </c>
      <c r="B15" s="113"/>
      <c r="C15" s="228" t="s">
        <v>172</v>
      </c>
      <c r="D15" s="229"/>
      <c r="E15" s="229"/>
      <c r="F15" s="229"/>
      <c r="G15" s="229"/>
      <c r="H15" s="229"/>
      <c r="I15" s="214">
        <f>IF($C$15="SUM",(($B$15*0.000731*456)/3)*D15*I7,IF($C$15="AY",($B$15/9)*D15*I7,IF($C$15="CAL",($B$15/12)*D15*I7,IF($C$15="Hrly",$B$15*D15*I7,0))))</f>
        <v>0</v>
      </c>
      <c r="J15" s="214">
        <f>IF($C$15="SUM",(($B$15*0.000731*456)/3)*E15*J7,IF($C$15="AY",($B$15/9)*E15*J7,IF($C$15="CAL",($B$15/12)*E15*J7,IF($C$15="Hrly",$B$15*E15*J7,0))))</f>
        <v>0</v>
      </c>
      <c r="K15" s="214">
        <f>IF($C$15="SUM",(($B$15*0.000731*456)/3)*F15*K7,IF($C$15="AY",($B$15/9)*F15*K7,IF($C$15="CAL",($B$15/12)*F15*K7,IF($C$15="Hrly",$B$15*F15*K7,0))))</f>
        <v>0</v>
      </c>
      <c r="L15" s="214">
        <f>IF($C$15="SUM",(($B$15*0.000731*456)/3)*G15*L7,IF($C$15="AY",($B$15/9)*G15*L7,IF($C$15="CAL",($B$15/12)*G15*L7,IF($C$15="Hrly",$B$15*G15*L7,0))))</f>
        <v>0</v>
      </c>
      <c r="M15" s="214">
        <f>IF($C$15="SUM",(($B$15*0.000731*456)/3)*H15*M7,IF($C$15="AY",($B$15/9)*H15*M7,IF($C$15="CAL",($B$15/12)*H15*M7,IF($C$15="Hrly",$B$15*H15*M7,0))))</f>
        <v>0</v>
      </c>
      <c r="N15" s="214">
        <f t="shared" si="0"/>
        <v>0</v>
      </c>
      <c r="O15" s="112"/>
      <c r="P15" s="114"/>
      <c r="Q15" s="99"/>
      <c r="R15" s="102"/>
      <c r="V15" s="99"/>
      <c r="W15" s="99"/>
      <c r="X15" s="99"/>
      <c r="Y15" s="99"/>
    </row>
    <row r="16" spans="1:25" s="103" customFormat="1">
      <c r="A16" s="105" t="s">
        <v>163</v>
      </c>
      <c r="B16" s="113"/>
      <c r="C16" s="228" t="s">
        <v>172</v>
      </c>
      <c r="D16" s="229"/>
      <c r="E16" s="229"/>
      <c r="F16" s="229"/>
      <c r="G16" s="229"/>
      <c r="H16" s="229"/>
      <c r="I16" s="214">
        <f>IF($C$16="SUM",(($B$16*0.000731*456)/3)*D16*I7,IF($C$16="AY",($B$16/9)*D16*I7,IF($C$16="CAL",($B$16/12)*D16*I7,IF($C$16="Hrly",$B$16*D16*I7,0))))</f>
        <v>0</v>
      </c>
      <c r="J16" s="214">
        <f>IF($C$16="SUM",(($B$16*0.000731*456)/3)*E16*J7,IF($C$16="AY",($B$16/9)*E16*J7,IF($C$16="CAL",($B$16/12)*E16*J7,IF($C$16="Hrly",$B$16*E16*J7,0))))</f>
        <v>0</v>
      </c>
      <c r="K16" s="214">
        <f>IF($C$16="SUM",(($B$16*0.000731*456)/3)*F16*K7,IF($C$16="AY",($B$16/9)*F16*K7,IF($C$16="CAL",($B$16/12)*F16*K7,IF($C$16="Hrly",$B$16*F16*K7,0))))</f>
        <v>0</v>
      </c>
      <c r="L16" s="214">
        <f>IF($C$16="SUM",(($B$16*0.000731*456)/3)*G16*L7,IF($C$16="AY",($B$16/9)*G16*L7,IF($C$16="CAL",($B$16/12)*G16*L7,IF($C$16="Hrly",$B$16*G16*L7,0))))</f>
        <v>0</v>
      </c>
      <c r="M16" s="214">
        <f>IF($C$16="SUM",(($B$16*0.000731*456)/3)*H16*M7,IF($C$16="AY",($B$16/9)*H16*M7,IF($C$16="CAL",($B$16/12)*H16*M7,IF($C$16="Hrly",$B$16*H16*M7,0))))</f>
        <v>0</v>
      </c>
      <c r="N16" s="214">
        <f t="shared" si="0"/>
        <v>0</v>
      </c>
      <c r="O16" s="112"/>
      <c r="P16" s="114"/>
      <c r="Q16" s="99"/>
      <c r="R16" s="102"/>
      <c r="V16" s="99"/>
      <c r="W16" s="99"/>
      <c r="X16" s="99"/>
      <c r="Y16" s="99"/>
    </row>
    <row r="17" spans="1:25" s="103" customFormat="1">
      <c r="A17" s="105" t="s">
        <v>164</v>
      </c>
      <c r="B17" s="113"/>
      <c r="C17" s="228" t="s">
        <v>172</v>
      </c>
      <c r="D17" s="229"/>
      <c r="E17" s="229"/>
      <c r="F17" s="229"/>
      <c r="G17" s="229"/>
      <c r="H17" s="229"/>
      <c r="I17" s="214">
        <f>IF($C$17="SUM",(($B$17*0.000731*456)/3)*D17*I7,IF($C$17="AY",($B$17/9)*D17*I7,IF($C$17="CAL",($B$17/12)*D17*I7,IF($C$17="Hrly",$B$17*D17*I7,0))))</f>
        <v>0</v>
      </c>
      <c r="J17" s="214">
        <f>IF($C$17="SUM",(($B$17*0.000731*456)/3)*E17*J7,IF($C$17="AY",($B$17/9)*E17*J7,IF($C$17="CAL",($B$17/12)*E17*J7,IF($C$17="Hrly",$B$17*E17*J7,0))))</f>
        <v>0</v>
      </c>
      <c r="K17" s="214">
        <f>IF($C$17="SUM",(($B$17*0.000731*456)/3)*F17*K7,IF($C$17="AY",($B$17/9)*F17*K7,IF($C$17="CAL",($B$17/12)*F17*K7,IF($C$17="Hrly",$B$17*F17*K7,0))))</f>
        <v>0</v>
      </c>
      <c r="L17" s="214">
        <f>IF($C$17="SUM",(($B$17*0.000731*456)/3)*G17*L7,IF($C$17="AY",($B$17/9)*G17*L7,IF($C$17="CAL",($B$17/12)*G17*L7,IF($C$17="Hrly",$B$17*G17*L7,0))))</f>
        <v>0</v>
      </c>
      <c r="M17" s="214">
        <f>IF($C$17="SUM",(($B$17*0.000731*456)/3)*H17*M7,IF($C$17="AY",($B$17/9)*H17*M7,IF($C$17="CAL",($B$17/12)*H17*M7,IF($C$17="Hrly",$B$17*H17*M7,0))))</f>
        <v>0</v>
      </c>
      <c r="N17" s="214">
        <f t="shared" si="0"/>
        <v>0</v>
      </c>
      <c r="O17" s="112"/>
      <c r="P17" s="101"/>
      <c r="Q17" s="99"/>
      <c r="R17" s="102"/>
      <c r="V17" s="99"/>
      <c r="W17" s="99"/>
      <c r="X17" s="99"/>
      <c r="Y17" s="99"/>
    </row>
    <row r="18" spans="1:25" s="103" customFormat="1">
      <c r="A18" s="105" t="s">
        <v>164</v>
      </c>
      <c r="B18" s="113"/>
      <c r="C18" s="228" t="s">
        <v>172</v>
      </c>
      <c r="D18" s="229"/>
      <c r="E18" s="229"/>
      <c r="F18" s="229"/>
      <c r="G18" s="229"/>
      <c r="H18" s="229"/>
      <c r="I18" s="214">
        <f>IF($C$18="SUM",(($B$18*0.000731*456)/3)*D18*I7,IF($C$18="AY",($B$18/9)*D18*I7,IF($C$18="CAL",($B$18/12)*D18*I7,IF($C$18="Hrly",$B$18*D18*I7,0))))</f>
        <v>0</v>
      </c>
      <c r="J18" s="214">
        <f>IF($C$18="SUM",(($B$18*0.000731*456)/3)*E18*J7,IF($C$18="AY",($B$18/9)*E18*J7,IF($C$18="CAL",($B$18/12)*E18*J7,IF($C$18="Hrly",$B$18*E18*J7,0))))</f>
        <v>0</v>
      </c>
      <c r="K18" s="214">
        <f>IF($C$18="SUM",(($B$18*0.000731*456)/3)*F18*K7,IF($C$18="AY",($B$18/9)*F18*K7,IF($C$18="CAL",($B$18/12)*F18*K7,IF($C$18="Hrly",$B$18*F18*K7,0))))</f>
        <v>0</v>
      </c>
      <c r="L18" s="214">
        <f>IF($C$18="SUM",(($B$18*0.000731*456)/3)*G18*L7,IF($C$18="AY",($B$18/9)*G18*L7,IF($C$18="CAL",($B$18/12)*G18*L7,IF($C$18="Hrly",$B$18*G18*L7,0))))</f>
        <v>0</v>
      </c>
      <c r="M18" s="214">
        <f>IF($C$18="SUM",(($B$18*0.000731*456)/3)*H18*M7,IF($C$18="AY",($B$18/9)*H18*M7,IF($C$18="CAL",($B$18/12)*H18*M7,IF($C$18="Hrly",$B$18*H18*M7,0))))</f>
        <v>0</v>
      </c>
      <c r="N18" s="214">
        <f t="shared" si="0"/>
        <v>0</v>
      </c>
      <c r="O18" s="112"/>
      <c r="P18" s="101"/>
      <c r="Q18" s="99"/>
      <c r="R18" s="102"/>
      <c r="V18" s="99"/>
      <c r="W18" s="99"/>
      <c r="X18" s="99"/>
      <c r="Y18" s="99"/>
    </row>
    <row r="19" spans="1:25" s="103" customFormat="1">
      <c r="A19" s="105" t="s">
        <v>164</v>
      </c>
      <c r="B19" s="113"/>
      <c r="C19" s="228" t="s">
        <v>172</v>
      </c>
      <c r="D19" s="229"/>
      <c r="E19" s="229"/>
      <c r="F19" s="229"/>
      <c r="G19" s="229"/>
      <c r="H19" s="229"/>
      <c r="I19" s="214">
        <f>IF($C$19="SUM",(($B$19*0.000731*456)/3)*D19*I7,IF($C$19="AY",($B$19/9)*D19*I7,IF($C$19="CAL",($B$19/12)*D19*I7,IF($C$19="Hrly",$B$19*D19*I7,0))))</f>
        <v>0</v>
      </c>
      <c r="J19" s="214">
        <f>IF($C$19="SUM",(($B$19*0.000731*456)/3)*E19*J7,IF($C$19="AY",($B$19/9)*E19*J7,IF($C$19="CAL",($B$19/12)*E19*J7,IF($C$19="Hrly",$B$19*E19*J7,0))))</f>
        <v>0</v>
      </c>
      <c r="K19" s="214">
        <f>IF($C$19="SUM",(($B$19*0.000731*456)/3)*F19*K7,IF($C$19="AY",($B$19/9)*F19*K7,IF($C$19="CAL",($B$19/12)*F19*K7,IF($C$19="Hrly",$B$19*F19*K7,0))))</f>
        <v>0</v>
      </c>
      <c r="L19" s="214">
        <f>IF($C$19="SUM",(($B$19*0.000731*456)/3)*G19*L7,IF($C$19="AY",($B$19/9)*G19*L7,IF($C$19="CAL",($B$19/12)*G19*L7,IF($C$19="Hrly",$B$19*G19*L7,0))))</f>
        <v>0</v>
      </c>
      <c r="M19" s="214">
        <f>IF($C$19="SUM",(($B$19*0.000731*456)/3)*H19*M7,IF($C$19="AY",($B$19/9)*H19*M7,IF($C$19="CAL",($B$19/12)*H19*M7,IF($C$19="Hrly",$B$19*H19*M7,0))))</f>
        <v>0</v>
      </c>
      <c r="N19" s="214">
        <f t="shared" si="0"/>
        <v>0</v>
      </c>
      <c r="O19" s="112"/>
      <c r="P19" s="101"/>
      <c r="Q19" s="99"/>
      <c r="R19" s="102"/>
      <c r="V19" s="99"/>
      <c r="W19" s="99"/>
      <c r="X19" s="99"/>
      <c r="Y19" s="99"/>
    </row>
    <row r="20" spans="1:25" s="103" customFormat="1">
      <c r="A20" s="105" t="s">
        <v>122</v>
      </c>
      <c r="B20" s="113"/>
      <c r="C20" s="228" t="s">
        <v>162</v>
      </c>
      <c r="D20" s="229"/>
      <c r="E20" s="229"/>
      <c r="F20" s="229"/>
      <c r="G20" s="229"/>
      <c r="H20" s="229"/>
      <c r="I20" s="214">
        <f>IF($C$20="SUM",($B$20/3)*D20*I7,IF($C$20="AY",($B$20/9)*D20*I7,IF($C$20="CAL",($B$20/12)*D20*I7,IF($C$20="Hrly",$B$20*D20*I7,0))))</f>
        <v>0</v>
      </c>
      <c r="J20" s="214">
        <f>IF($C$20="SUM",(($B$20*0.000731*456)/3)*E20*J7,IF($C$20="AY",($B$20/9)*E20*J7,IF($C$20="CAL",($B$20/12)*E20*J7,IF($C$20="Hrly",$B$20*E20*J7,0))))</f>
        <v>0</v>
      </c>
      <c r="K20" s="214">
        <f>IF($C$20="SUM",(($B$20*0.000731*456)/3)*F20*K7,IF($C$20="AY",($B$20/9)*F20*K7,IF($C$20="CAL",($B$20/12)*F20*K7,IF($C$20="Hrly",$B$20*F20*K7,0))))</f>
        <v>0</v>
      </c>
      <c r="L20" s="214">
        <f>IF($C$20="SUM",(($B$20*0.000731*456)/3)*G20*L7,IF($C$20="AY",($B$20/9)*G20*L7,IF($C$20="CAL",($B$20/12)*G20*L7,IF($C$20="Hrly",$B$20*G20*L7,0))))</f>
        <v>0</v>
      </c>
      <c r="M20" s="214">
        <f>IF($C$20="SUM",(($B$20*0.000731*456)/3)*H20*M7,IF($C$20="AY",($B$20/9)*H20*M7,IF($C$20="CAL",($B$20/12)*H20*M7,IF($C$20="Hrly",$B$20*H20*M7,0))))</f>
        <v>0</v>
      </c>
      <c r="N20" s="214">
        <f t="shared" si="0"/>
        <v>0</v>
      </c>
      <c r="O20" s="112"/>
      <c r="P20" s="115"/>
      <c r="Q20" s="99"/>
      <c r="R20" s="102"/>
      <c r="V20" s="99"/>
      <c r="W20" s="99"/>
      <c r="X20" s="99"/>
      <c r="Y20" s="99"/>
    </row>
    <row r="21" spans="1:25" s="103" customFormat="1">
      <c r="A21" s="105" t="s">
        <v>201</v>
      </c>
      <c r="B21" s="230"/>
      <c r="C21" s="228"/>
      <c r="D21" s="229"/>
      <c r="E21" s="229"/>
      <c r="F21" s="229"/>
      <c r="G21" s="229"/>
      <c r="H21" s="229"/>
      <c r="I21" s="214">
        <f>IF($C$21="SUM",($B$21/3)*D21*I7,IF($C$21="AY",($B$21/9)*D21*I7,IF($C$21="CAL",($B$21/12)*D21*I7,IF($C$21="Hrly",$B$21*D21*I7,0))))</f>
        <v>0</v>
      </c>
      <c r="J21" s="214">
        <f>IF($C$21="SUM",($B$21/3)*E21*J7,IF($C$21="AY",($B$21/9)*E21*J7,IF($C$21="CAL",($B$21/12)*E21*J7,IF($C$21="Hrly",$B$21*E21*J7,0))))</f>
        <v>0</v>
      </c>
      <c r="K21" s="214">
        <f>IF($C$21="SUM",($B$21/3)*F21*K7,IF($C$21="AY",($B$21/9)*F21*K7,IF($C$21="CAL",($B$21/12)*F21*K7,IF($C$21="Hrly",$B$21*F21*K7,0))))</f>
        <v>0</v>
      </c>
      <c r="L21" s="214">
        <f>IF($C$21="SUM",($B$21/3)*G21*L7,IF($C$21="AY",($B$21/9)*G21*L7,IF($C$21="CAL",($B$21/12)*G21*L7,IF($C$21="Hrly",$B$21*G21*L7,0))))</f>
        <v>0</v>
      </c>
      <c r="M21" s="214">
        <f>IF($C$21="SUM",($B$21/3)*H21*M7,IF($C$21="AY",($B$21/9)*H21*M7,IF($C$21="CAL",($B$21/12)*H21*M7,IF($C$21="Hrly",$B$21*H21*M7,0))))</f>
        <v>0</v>
      </c>
      <c r="N21" s="214">
        <f t="shared" si="0"/>
        <v>0</v>
      </c>
      <c r="O21" s="112"/>
      <c r="Q21" s="99"/>
      <c r="R21" s="102"/>
      <c r="V21" s="99"/>
      <c r="W21" s="99"/>
      <c r="X21" s="99"/>
      <c r="Y21" s="99"/>
    </row>
    <row r="22" spans="1:25" s="103" customFormat="1">
      <c r="A22" s="105" t="s">
        <v>122</v>
      </c>
      <c r="B22" s="113"/>
      <c r="C22" s="228" t="s">
        <v>162</v>
      </c>
      <c r="D22" s="229"/>
      <c r="E22" s="229"/>
      <c r="F22" s="229"/>
      <c r="G22" s="229"/>
      <c r="H22" s="229"/>
      <c r="I22" s="214">
        <f>IF($C$22="SUM",($B$22/3)*D22*I7,IF($C$22="AY",($B$22/9)*D22*I7,IF($C$22="CAL",($B$22/12)*D22*I7,IF($C$22="Hrly",$B$22*D22*I7,0))))</f>
        <v>0</v>
      </c>
      <c r="J22" s="214">
        <f>IF($C$22="SUM",($B$22/3)*E22*J7,IF($C$22="AY",($B$22/9)*E22*J7,IF($C$22="CAL",($B$22/12)*E22*J7,IF($C$22="Hrly",$B$22*E22*J7,0))))</f>
        <v>0</v>
      </c>
      <c r="K22" s="214">
        <f>IF($C$22="SUM",($B$22/3)*F22*K7,IF($C$22="AY",($B$22/9)*F22*K7,IF($C$22="CAL",($B$22/12)*F22*K7,IF($C$22="Hrly",$B$22*F22*K7,0))))</f>
        <v>0</v>
      </c>
      <c r="L22" s="214">
        <f>IF($C$22="SUM",($B$22/3)*G22*L7,IF($C$22="AY",($B$22/9)*G22*L7,IF($C$22="CAL",($B$22/12)*G22*L7,IF($C$22="Hrly",$B$22*G22*L7,0))))</f>
        <v>0</v>
      </c>
      <c r="M22" s="214">
        <f>IF($C$22="SUM",($B$22/3)*H22*M7,IF($C$22="AY",($B$22/9)*H22*M7,IF($C$22="CAL",($B$22/12)*H22*M7,IF($C$22="Hrly",$B$22*H22*M7,0))))</f>
        <v>0</v>
      </c>
      <c r="N22" s="214">
        <f t="shared" si="0"/>
        <v>0</v>
      </c>
      <c r="O22" s="112"/>
      <c r="Q22" s="99"/>
      <c r="R22" s="102"/>
      <c r="V22" s="99"/>
      <c r="W22" s="99"/>
      <c r="X22" s="99"/>
      <c r="Y22" s="99"/>
    </row>
    <row r="23" spans="1:25" s="103" customFormat="1">
      <c r="A23" s="105" t="s">
        <v>201</v>
      </c>
      <c r="B23" s="230"/>
      <c r="C23" s="228"/>
      <c r="D23" s="229"/>
      <c r="E23" s="229"/>
      <c r="F23" s="229"/>
      <c r="G23" s="229"/>
      <c r="H23" s="229"/>
      <c r="I23" s="214">
        <f>IF($C$23="SUM",($B$23/3)*D23*I7,IF($C$23="AY",($B$23/9)*D23*I7,IF($C$23="CAL",($B$23/12)*D23*I7,IF($C$23="Hrly",$B$23*D23*I7,0))))</f>
        <v>0</v>
      </c>
      <c r="J23" s="214">
        <f>IF($C$23="SUM",($B$23/3)*E23*J7,IF($C$23="AY",($B$23/9)*E23*J7,IF($C$23="CAL",($B$23/12)*E23*J7,IF($C$23="Hrly",$B$23*E23*J7,0))))</f>
        <v>0</v>
      </c>
      <c r="K23" s="214">
        <f>IF($C$23="SUM",($B$23/3)*F23*K7,IF($C$23="AY",($B$23/9)*F23*K7,IF($C$23="CAL",($B$23/12)*F23*K7,IF($C$23="Hrly",$B$23*F23*K7,0))))</f>
        <v>0</v>
      </c>
      <c r="L23" s="214">
        <f>IF($C$23="SUM",($B$23/3)*G23*L7,IF($C$23="AY",($B$23/9)*G23*L7,IF($C$23="CAL",($B$23/12)*G23*L7,IF($C$23="Hrly",$B$23*G23*L7,0))))</f>
        <v>0</v>
      </c>
      <c r="M23" s="214">
        <f>IF($C$23="SUM",($B$23/3)*H23*M7,IF($C$23="AY",($B$23/9)*H23*M7,IF($C$23="CAL",($B$23/12)*H23*M7,IF($C$23="Hrly",$B$23*H23*M7,0))))</f>
        <v>0</v>
      </c>
      <c r="N23" s="214">
        <f t="shared" si="0"/>
        <v>0</v>
      </c>
      <c r="O23" s="112"/>
      <c r="Q23" s="99"/>
      <c r="R23" s="102"/>
      <c r="V23" s="99"/>
      <c r="W23" s="99"/>
      <c r="X23" s="99"/>
      <c r="Y23" s="99"/>
    </row>
    <row r="24" spans="1:25" s="103" customFormat="1">
      <c r="A24" s="105" t="s">
        <v>13</v>
      </c>
      <c r="B24" s="231"/>
      <c r="C24" s="228" t="s">
        <v>195</v>
      </c>
      <c r="D24" s="117"/>
      <c r="E24" s="117"/>
      <c r="F24" s="117"/>
      <c r="G24" s="117"/>
      <c r="H24" s="117"/>
      <c r="I24" s="214">
        <f>IF($C$24="SUM",(($B$24*0.000731*456)/3)*D24*I7,IF($C$24="AY",($B$24/9)*D24*I7,IF($C$24="CAL",($B$24/12)*D24*I7,IF($C$24="Hrly",$B$24*D24*I7,0))))</f>
        <v>0</v>
      </c>
      <c r="J24" s="214">
        <f>IF($C$24="SUM",(($B$24*0.000731*456)/3)*E24*J7,IF($C$24="AY",($B$24/9)*E24*J7,IF($C$24="CAL",($B$24/12)*E24*J7,IF($C$24="Hrly",$B$24*E24*J7,0))))</f>
        <v>0</v>
      </c>
      <c r="K24" s="214">
        <f>IF($C$24="SUM",(($B$24*0.000731*456)/3)*F24*K7,IF($C$24="AY",($B$24/9)*F24*K7,IF($C$24="CAL",($B$24/12)*F24*K7,IF($C$24="Hrly",$B$24*F24*K7,0))))</f>
        <v>0</v>
      </c>
      <c r="L24" s="214">
        <f>IF($C$24="SUM",(($B$24*0.000731*456)/3)*G24*L7,IF($C$24="AY",($B$24/9)*G24*L7,IF($C$24="CAL",($B$24/12)*G24*L7,IF($C$24="Hrly",$B$24*G24*L7,0))))</f>
        <v>0</v>
      </c>
      <c r="M24" s="214">
        <f>IF($C$24="SUM",(($B$24*0.000731*456)/3)*H24*M7,IF($C$24="AY",($B$24/9)*H24*M7,IF($C$24="CAL",($B$24/12)*H24*M7,IF($C$24="Hrly",$B$24*H24*M7,0))))</f>
        <v>0</v>
      </c>
      <c r="N24" s="214">
        <f t="shared" si="0"/>
        <v>0</v>
      </c>
      <c r="O24" s="112"/>
      <c r="P24" s="101"/>
      <c r="Q24" s="99"/>
      <c r="R24" s="102"/>
      <c r="V24" s="99"/>
      <c r="W24" s="99"/>
      <c r="X24" s="99"/>
      <c r="Y24" s="99"/>
    </row>
    <row r="25" spans="1:25">
      <c r="A25" s="105" t="s">
        <v>13</v>
      </c>
      <c r="B25" s="231"/>
      <c r="C25" s="228" t="s">
        <v>195</v>
      </c>
      <c r="D25" s="117"/>
      <c r="E25" s="117"/>
      <c r="F25" s="117"/>
      <c r="G25" s="117"/>
      <c r="H25" s="117"/>
      <c r="I25" s="214">
        <f>IF($C$25="SUM",(($B$25*0.000731*456)/3)*D25*I7,IF($C$25="AY",($B$25/9)*D25*I7,IF($C$25="CAL",($B$25/12)*D25*I7,IF($C$25="Hrly",$B$25*D25*I7,0))))</f>
        <v>0</v>
      </c>
      <c r="J25" s="214">
        <f>IF($C$25="SUM",(($B$25*0.000731*456)/3)*E25*J7,IF($C$25="AY",($B$25/9)*E25*J7,IF($C$25="CAL",($B$25/12)*E25*J7,IF($C$25="Hrly",$B$25*E25*J7,0))))</f>
        <v>0</v>
      </c>
      <c r="K25" s="214">
        <f>IF($C$25="SUM",(($B$25*0.000731*456)/3)*F25*K7,IF($C$25="AY",($B$25/9)*F25*K7,IF($C$25="CAL",($B$25/12)*F25*K7,IF($C$25="Hrly",$B$25*F25*K7,0))))</f>
        <v>0</v>
      </c>
      <c r="L25" s="214">
        <f>IF($C$25="SUM",(($B$25*0.000731*456)/3)*G25*L7,IF($C$25="AY",($B$25/9)*G25*L7,IF($C$25="CAL",($B$25/12)*G25*L7,IF($C$25="Hrly",$B$25*G25*L7,0))))</f>
        <v>0</v>
      </c>
      <c r="M25" s="214">
        <f>IF($C$25="SUM",(($B$25*0.000731*456)/3)*H25*M7,IF($C$25="AY",($B$25/9)*H25*M7,IF($C$25="CAL",($B$25/12)*H25*M7,IF($C$25="Hrly",$B$25*H25*M7,0))))</f>
        <v>0</v>
      </c>
      <c r="N25" s="214">
        <f t="shared" si="0"/>
        <v>0</v>
      </c>
      <c r="O25" s="112"/>
      <c r="P25" s="116"/>
    </row>
    <row r="26" spans="1:25">
      <c r="A26" s="232" t="s">
        <v>90</v>
      </c>
      <c r="B26" s="105"/>
      <c r="C26" s="105"/>
      <c r="D26" s="105"/>
      <c r="E26" s="105"/>
      <c r="F26" s="105"/>
      <c r="G26" s="105"/>
      <c r="H26" s="233"/>
      <c r="I26" s="112"/>
      <c r="J26" s="112"/>
      <c r="K26" s="112"/>
      <c r="L26" s="112"/>
      <c r="M26" s="112"/>
      <c r="N26" s="112"/>
      <c r="O26" s="112"/>
    </row>
    <row r="27" spans="1:25">
      <c r="A27" s="234"/>
      <c r="B27" s="235" t="s">
        <v>14</v>
      </c>
      <c r="C27" s="236"/>
      <c r="D27" s="236"/>
      <c r="E27" s="236"/>
      <c r="F27" s="236"/>
      <c r="G27" s="236"/>
      <c r="H27" s="236"/>
      <c r="I27" s="220">
        <f>ROUND(SUM(I10:I25),0)</f>
        <v>0</v>
      </c>
      <c r="J27" s="220">
        <f t="shared" ref="J27:M27" si="1">ROUND(SUM(J10:J25),0)</f>
        <v>0</v>
      </c>
      <c r="K27" s="220">
        <f t="shared" si="1"/>
        <v>0</v>
      </c>
      <c r="L27" s="220">
        <f t="shared" si="1"/>
        <v>0</v>
      </c>
      <c r="M27" s="220">
        <f t="shared" si="1"/>
        <v>0</v>
      </c>
      <c r="N27" s="220">
        <f>SUM(I27:M27)</f>
        <v>0</v>
      </c>
      <c r="O27" s="181"/>
      <c r="P27" s="118"/>
    </row>
    <row r="28" spans="1:25" s="104" customFormat="1">
      <c r="A28" s="99"/>
      <c r="B28" s="105"/>
      <c r="C28" s="105"/>
      <c r="D28" s="105"/>
      <c r="E28" s="105"/>
      <c r="F28" s="105"/>
      <c r="G28" s="105"/>
      <c r="H28" s="99"/>
      <c r="I28" s="127"/>
      <c r="J28" s="127"/>
      <c r="K28" s="127"/>
      <c r="L28" s="127"/>
      <c r="M28" s="127"/>
      <c r="N28" s="127"/>
      <c r="O28" s="128"/>
      <c r="P28" s="101"/>
      <c r="Q28" s="119"/>
      <c r="R28" s="120"/>
      <c r="S28" s="121"/>
      <c r="T28" s="121"/>
      <c r="U28" s="121"/>
    </row>
    <row r="29" spans="1:25">
      <c r="A29" s="104" t="s">
        <v>15</v>
      </c>
      <c r="B29" s="227" t="s">
        <v>16</v>
      </c>
      <c r="C29" s="104"/>
      <c r="D29" s="104"/>
      <c r="E29" s="104"/>
      <c r="F29" s="104"/>
      <c r="G29" s="104"/>
      <c r="I29" s="127"/>
      <c r="J29" s="127"/>
      <c r="K29" s="127"/>
      <c r="L29" s="127"/>
      <c r="M29" s="127"/>
      <c r="N29" s="127"/>
      <c r="O29" s="128"/>
    </row>
    <row r="30" spans="1:25">
      <c r="A30" s="105" t="s">
        <v>9</v>
      </c>
      <c r="B30" s="237">
        <v>0.32</v>
      </c>
      <c r="C30" s="237"/>
      <c r="D30" s="237"/>
      <c r="E30" s="237"/>
      <c r="F30" s="237"/>
      <c r="G30" s="237"/>
      <c r="I30" s="215">
        <f t="shared" ref="I30:I45" si="2">I10*B30</f>
        <v>0</v>
      </c>
      <c r="J30" s="215">
        <f t="shared" ref="J30:J45" si="3">J10*B30</f>
        <v>0</v>
      </c>
      <c r="K30" s="215">
        <f>K10*B30</f>
        <v>0</v>
      </c>
      <c r="L30" s="215">
        <f>L10*B30</f>
        <v>0</v>
      </c>
      <c r="M30" s="215">
        <f>M10*B30</f>
        <v>0</v>
      </c>
      <c r="N30" s="214">
        <f t="shared" ref="N30:N45" si="4">SUM(I30:M30)</f>
        <v>0</v>
      </c>
      <c r="O30" s="112"/>
      <c r="Q30" s="113"/>
      <c r="R30" s="122"/>
      <c r="S30" s="113"/>
      <c r="T30" s="113"/>
      <c r="U30" s="123"/>
      <c r="W30" s="113"/>
      <c r="X30" s="113"/>
    </row>
    <row r="31" spans="1:25">
      <c r="A31" s="105" t="s">
        <v>10</v>
      </c>
      <c r="B31" s="237">
        <v>0.32</v>
      </c>
      <c r="C31" s="237"/>
      <c r="D31" s="237"/>
      <c r="E31" s="237"/>
      <c r="F31" s="237"/>
      <c r="G31" s="237"/>
      <c r="I31" s="215">
        <f t="shared" si="2"/>
        <v>0</v>
      </c>
      <c r="J31" s="215">
        <f t="shared" si="3"/>
        <v>0</v>
      </c>
      <c r="K31" s="215">
        <f t="shared" ref="K31:K44" si="5">K11*B31</f>
        <v>0</v>
      </c>
      <c r="L31" s="215">
        <f t="shared" ref="L31:L44" si="6">L11*B31</f>
        <v>0</v>
      </c>
      <c r="M31" s="215">
        <f t="shared" ref="M31:M44" si="7">M11*B31</f>
        <v>0</v>
      </c>
      <c r="N31" s="214">
        <f t="shared" si="4"/>
        <v>0</v>
      </c>
      <c r="O31" s="112"/>
      <c r="U31" s="123"/>
      <c r="W31" s="113"/>
      <c r="X31" s="113"/>
    </row>
    <row r="32" spans="1:25">
      <c r="A32" s="105" t="s">
        <v>10</v>
      </c>
      <c r="B32" s="237">
        <v>0.32</v>
      </c>
      <c r="C32" s="237"/>
      <c r="D32" s="237"/>
      <c r="E32" s="237"/>
      <c r="F32" s="237"/>
      <c r="G32" s="237"/>
      <c r="I32" s="215">
        <f t="shared" si="2"/>
        <v>0</v>
      </c>
      <c r="J32" s="215">
        <f t="shared" si="3"/>
        <v>0</v>
      </c>
      <c r="K32" s="215">
        <f t="shared" si="5"/>
        <v>0</v>
      </c>
      <c r="L32" s="215">
        <f t="shared" si="6"/>
        <v>0</v>
      </c>
      <c r="M32" s="215">
        <f t="shared" si="7"/>
        <v>0</v>
      </c>
      <c r="N32" s="214">
        <f t="shared" si="4"/>
        <v>0</v>
      </c>
      <c r="O32" s="112"/>
      <c r="U32" s="123"/>
      <c r="W32" s="113"/>
      <c r="X32" s="113"/>
    </row>
    <row r="33" spans="1:24">
      <c r="A33" s="105" t="s">
        <v>10</v>
      </c>
      <c r="B33" s="237">
        <v>0.32</v>
      </c>
      <c r="C33" s="237"/>
      <c r="D33" s="237"/>
      <c r="E33" s="237"/>
      <c r="F33" s="237"/>
      <c r="G33" s="237"/>
      <c r="I33" s="215">
        <f t="shared" si="2"/>
        <v>0</v>
      </c>
      <c r="J33" s="215">
        <f t="shared" si="3"/>
        <v>0</v>
      </c>
      <c r="K33" s="215">
        <f t="shared" si="5"/>
        <v>0</v>
      </c>
      <c r="L33" s="215">
        <f t="shared" si="6"/>
        <v>0</v>
      </c>
      <c r="M33" s="215">
        <f t="shared" si="7"/>
        <v>0</v>
      </c>
      <c r="N33" s="214">
        <f t="shared" si="4"/>
        <v>0</v>
      </c>
      <c r="O33" s="112"/>
      <c r="U33" s="123"/>
      <c r="W33" s="113"/>
      <c r="X33" s="113"/>
    </row>
    <row r="34" spans="1:24">
      <c r="A34" s="105" t="s">
        <v>17</v>
      </c>
      <c r="B34" s="237">
        <v>0.156</v>
      </c>
      <c r="C34" s="237"/>
      <c r="D34" s="237"/>
      <c r="E34" s="237"/>
      <c r="F34" s="237"/>
      <c r="G34" s="237"/>
      <c r="I34" s="215">
        <f t="shared" si="2"/>
        <v>0</v>
      </c>
      <c r="J34" s="215">
        <f t="shared" si="3"/>
        <v>0</v>
      </c>
      <c r="K34" s="215">
        <f t="shared" si="5"/>
        <v>0</v>
      </c>
      <c r="L34" s="215">
        <f t="shared" si="6"/>
        <v>0</v>
      </c>
      <c r="M34" s="215">
        <f t="shared" si="7"/>
        <v>0</v>
      </c>
      <c r="N34" s="214">
        <f t="shared" si="4"/>
        <v>0</v>
      </c>
      <c r="O34" s="112"/>
      <c r="U34" s="123"/>
      <c r="W34" s="113"/>
      <c r="X34" s="113"/>
    </row>
    <row r="35" spans="1:24">
      <c r="A35" s="105" t="s">
        <v>17</v>
      </c>
      <c r="B35" s="237">
        <v>0.156</v>
      </c>
      <c r="C35" s="237"/>
      <c r="D35" s="237"/>
      <c r="E35" s="237"/>
      <c r="F35" s="237"/>
      <c r="G35" s="237"/>
      <c r="I35" s="215">
        <f t="shared" si="2"/>
        <v>0</v>
      </c>
      <c r="J35" s="215">
        <f t="shared" si="3"/>
        <v>0</v>
      </c>
      <c r="K35" s="215">
        <f t="shared" si="5"/>
        <v>0</v>
      </c>
      <c r="L35" s="215">
        <f t="shared" si="6"/>
        <v>0</v>
      </c>
      <c r="M35" s="215">
        <f t="shared" si="7"/>
        <v>0</v>
      </c>
      <c r="N35" s="214">
        <f t="shared" si="4"/>
        <v>0</v>
      </c>
      <c r="O35" s="112"/>
      <c r="U35" s="123"/>
      <c r="W35" s="113"/>
      <c r="X35" s="113"/>
    </row>
    <row r="36" spans="1:24">
      <c r="A36" s="105" t="s">
        <v>17</v>
      </c>
      <c r="B36" s="237">
        <v>0.156</v>
      </c>
      <c r="C36" s="237"/>
      <c r="D36" s="237"/>
      <c r="E36" s="237"/>
      <c r="F36" s="237"/>
      <c r="G36" s="237"/>
      <c r="I36" s="215">
        <f t="shared" si="2"/>
        <v>0</v>
      </c>
      <c r="J36" s="215">
        <f t="shared" si="3"/>
        <v>0</v>
      </c>
      <c r="K36" s="215">
        <f t="shared" si="5"/>
        <v>0</v>
      </c>
      <c r="L36" s="215">
        <f t="shared" si="6"/>
        <v>0</v>
      </c>
      <c r="M36" s="215">
        <f t="shared" si="7"/>
        <v>0</v>
      </c>
      <c r="N36" s="214">
        <f t="shared" si="4"/>
        <v>0</v>
      </c>
      <c r="O36" s="112"/>
      <c r="U36" s="123"/>
      <c r="W36" s="113"/>
      <c r="X36" s="113"/>
    </row>
    <row r="37" spans="1:24">
      <c r="A37" s="105" t="s">
        <v>18</v>
      </c>
      <c r="B37" s="237">
        <v>0.32</v>
      </c>
      <c r="C37" s="237"/>
      <c r="D37" s="237"/>
      <c r="E37" s="237"/>
      <c r="F37" s="237"/>
      <c r="G37" s="237"/>
      <c r="I37" s="215">
        <f t="shared" si="2"/>
        <v>0</v>
      </c>
      <c r="J37" s="215">
        <f t="shared" si="3"/>
        <v>0</v>
      </c>
      <c r="K37" s="215">
        <f t="shared" si="5"/>
        <v>0</v>
      </c>
      <c r="L37" s="215">
        <f t="shared" si="6"/>
        <v>0</v>
      </c>
      <c r="M37" s="215">
        <f t="shared" si="7"/>
        <v>0</v>
      </c>
      <c r="N37" s="214">
        <f t="shared" si="4"/>
        <v>0</v>
      </c>
      <c r="O37" s="112"/>
      <c r="U37" s="123"/>
      <c r="W37" s="113"/>
      <c r="X37" s="113"/>
    </row>
    <row r="38" spans="1:24">
      <c r="A38" s="105" t="s">
        <v>18</v>
      </c>
      <c r="B38" s="237">
        <v>0.32</v>
      </c>
      <c r="C38" s="237"/>
      <c r="D38" s="237"/>
      <c r="E38" s="237"/>
      <c r="F38" s="237"/>
      <c r="G38" s="237"/>
      <c r="I38" s="215">
        <f t="shared" si="2"/>
        <v>0</v>
      </c>
      <c r="J38" s="215">
        <f t="shared" si="3"/>
        <v>0</v>
      </c>
      <c r="K38" s="215">
        <f t="shared" si="5"/>
        <v>0</v>
      </c>
      <c r="L38" s="215">
        <f t="shared" si="6"/>
        <v>0</v>
      </c>
      <c r="M38" s="215">
        <f t="shared" si="7"/>
        <v>0</v>
      </c>
      <c r="N38" s="214">
        <f t="shared" si="4"/>
        <v>0</v>
      </c>
      <c r="O38" s="112"/>
      <c r="U38" s="123"/>
      <c r="W38" s="113"/>
      <c r="X38" s="113"/>
    </row>
    <row r="39" spans="1:24">
      <c r="A39" s="105" t="s">
        <v>18</v>
      </c>
      <c r="B39" s="237">
        <v>0.32</v>
      </c>
      <c r="C39" s="237"/>
      <c r="D39" s="237"/>
      <c r="E39" s="237"/>
      <c r="F39" s="237"/>
      <c r="G39" s="237"/>
      <c r="I39" s="215">
        <f t="shared" si="2"/>
        <v>0</v>
      </c>
      <c r="J39" s="215">
        <f t="shared" si="3"/>
        <v>0</v>
      </c>
      <c r="K39" s="215">
        <f t="shared" si="5"/>
        <v>0</v>
      </c>
      <c r="L39" s="215">
        <f t="shared" si="6"/>
        <v>0</v>
      </c>
      <c r="M39" s="215">
        <f t="shared" si="7"/>
        <v>0</v>
      </c>
      <c r="N39" s="214">
        <f t="shared" si="4"/>
        <v>0</v>
      </c>
      <c r="O39" s="112"/>
      <c r="U39" s="123"/>
      <c r="W39" s="113"/>
      <c r="X39" s="113"/>
    </row>
    <row r="40" spans="1:24">
      <c r="A40" s="105" t="s">
        <v>11</v>
      </c>
      <c r="B40" s="237">
        <v>0.13</v>
      </c>
      <c r="C40" s="237"/>
      <c r="D40" s="237"/>
      <c r="E40" s="237"/>
      <c r="F40" s="237"/>
      <c r="G40" s="237"/>
      <c r="I40" s="215">
        <f t="shared" si="2"/>
        <v>0</v>
      </c>
      <c r="J40" s="215">
        <f t="shared" si="3"/>
        <v>0</v>
      </c>
      <c r="K40" s="215">
        <f t="shared" si="5"/>
        <v>0</v>
      </c>
      <c r="L40" s="215">
        <f t="shared" si="6"/>
        <v>0</v>
      </c>
      <c r="M40" s="215">
        <f t="shared" si="7"/>
        <v>0</v>
      </c>
      <c r="N40" s="214">
        <f t="shared" si="4"/>
        <v>0</v>
      </c>
      <c r="O40" s="112"/>
      <c r="U40" s="123"/>
      <c r="W40" s="113"/>
      <c r="X40" s="113"/>
    </row>
    <row r="41" spans="1:24">
      <c r="A41" s="105" t="s">
        <v>12</v>
      </c>
      <c r="B41" s="237">
        <v>0.13</v>
      </c>
      <c r="C41" s="237"/>
      <c r="D41" s="237"/>
      <c r="E41" s="237"/>
      <c r="F41" s="237"/>
      <c r="G41" s="237"/>
      <c r="I41" s="215">
        <f t="shared" si="2"/>
        <v>0</v>
      </c>
      <c r="J41" s="215">
        <f t="shared" si="3"/>
        <v>0</v>
      </c>
      <c r="K41" s="215">
        <f t="shared" si="5"/>
        <v>0</v>
      </c>
      <c r="L41" s="215">
        <f t="shared" si="6"/>
        <v>0</v>
      </c>
      <c r="M41" s="215">
        <f t="shared" si="7"/>
        <v>0</v>
      </c>
      <c r="N41" s="214">
        <f t="shared" si="4"/>
        <v>0</v>
      </c>
      <c r="O41" s="112"/>
      <c r="U41" s="123"/>
      <c r="W41" s="113"/>
      <c r="X41" s="113"/>
    </row>
    <row r="42" spans="1:24">
      <c r="A42" s="105" t="s">
        <v>11</v>
      </c>
      <c r="B42" s="237">
        <v>0.13</v>
      </c>
      <c r="C42" s="237"/>
      <c r="D42" s="237"/>
      <c r="E42" s="237"/>
      <c r="F42" s="237"/>
      <c r="G42" s="237"/>
      <c r="I42" s="215">
        <f t="shared" si="2"/>
        <v>0</v>
      </c>
      <c r="J42" s="215">
        <f t="shared" si="3"/>
        <v>0</v>
      </c>
      <c r="K42" s="215">
        <f t="shared" si="5"/>
        <v>0</v>
      </c>
      <c r="L42" s="215">
        <f t="shared" si="6"/>
        <v>0</v>
      </c>
      <c r="M42" s="215">
        <f t="shared" si="7"/>
        <v>0</v>
      </c>
      <c r="N42" s="214">
        <f t="shared" si="4"/>
        <v>0</v>
      </c>
      <c r="O42" s="112"/>
      <c r="U42" s="123"/>
      <c r="W42" s="113"/>
      <c r="X42" s="113"/>
    </row>
    <row r="43" spans="1:24">
      <c r="A43" s="105" t="s">
        <v>12</v>
      </c>
      <c r="B43" s="237">
        <v>0.13</v>
      </c>
      <c r="C43" s="237"/>
      <c r="D43" s="237"/>
      <c r="E43" s="237"/>
      <c r="F43" s="237"/>
      <c r="G43" s="237"/>
      <c r="I43" s="215">
        <f t="shared" si="2"/>
        <v>0</v>
      </c>
      <c r="J43" s="215">
        <f t="shared" si="3"/>
        <v>0</v>
      </c>
      <c r="K43" s="215">
        <f t="shared" si="5"/>
        <v>0</v>
      </c>
      <c r="L43" s="215">
        <f t="shared" si="6"/>
        <v>0</v>
      </c>
      <c r="M43" s="215">
        <f t="shared" si="7"/>
        <v>0</v>
      </c>
      <c r="N43" s="214">
        <f t="shared" si="4"/>
        <v>0</v>
      </c>
      <c r="O43" s="112"/>
      <c r="U43" s="123"/>
      <c r="W43" s="113"/>
      <c r="X43" s="113"/>
    </row>
    <row r="44" spans="1:24">
      <c r="A44" s="105" t="s">
        <v>13</v>
      </c>
      <c r="B44" s="237">
        <v>0.02</v>
      </c>
      <c r="C44" s="237"/>
      <c r="D44" s="237"/>
      <c r="E44" s="237"/>
      <c r="F44" s="237"/>
      <c r="G44" s="237"/>
      <c r="I44" s="215">
        <f t="shared" si="2"/>
        <v>0</v>
      </c>
      <c r="J44" s="215">
        <f t="shared" si="3"/>
        <v>0</v>
      </c>
      <c r="K44" s="215">
        <f t="shared" si="5"/>
        <v>0</v>
      </c>
      <c r="L44" s="215">
        <f t="shared" si="6"/>
        <v>0</v>
      </c>
      <c r="M44" s="215">
        <f t="shared" si="7"/>
        <v>0</v>
      </c>
      <c r="N44" s="214">
        <f t="shared" si="4"/>
        <v>0</v>
      </c>
      <c r="O44" s="112"/>
      <c r="U44" s="123"/>
      <c r="W44" s="113"/>
      <c r="X44" s="113"/>
    </row>
    <row r="45" spans="1:24">
      <c r="A45" s="105" t="s">
        <v>13</v>
      </c>
      <c r="B45" s="237">
        <v>0.02</v>
      </c>
      <c r="C45" s="237"/>
      <c r="D45" s="237"/>
      <c r="E45" s="237"/>
      <c r="F45" s="237"/>
      <c r="G45" s="237"/>
      <c r="I45" s="215">
        <f t="shared" si="2"/>
        <v>0</v>
      </c>
      <c r="J45" s="215">
        <f t="shared" si="3"/>
        <v>0</v>
      </c>
      <c r="K45" s="215">
        <f>K25*B45</f>
        <v>0</v>
      </c>
      <c r="L45" s="215">
        <f>L25*B45</f>
        <v>0</v>
      </c>
      <c r="M45" s="215">
        <f>M25*B45</f>
        <v>0</v>
      </c>
      <c r="N45" s="214">
        <f t="shared" si="4"/>
        <v>0</v>
      </c>
      <c r="O45" s="112"/>
      <c r="U45" s="123"/>
      <c r="W45" s="113"/>
      <c r="X45" s="113"/>
    </row>
    <row r="46" spans="1:24">
      <c r="B46" s="105"/>
      <c r="C46" s="105"/>
      <c r="D46" s="105"/>
      <c r="E46" s="105"/>
      <c r="F46" s="105"/>
      <c r="G46" s="105"/>
      <c r="I46" s="127"/>
      <c r="J46" s="127"/>
      <c r="K46" s="127"/>
      <c r="L46" s="127"/>
      <c r="M46" s="127"/>
      <c r="N46" s="124"/>
      <c r="O46" s="124"/>
      <c r="U46" s="123"/>
      <c r="W46" s="113"/>
      <c r="X46" s="113"/>
    </row>
    <row r="47" spans="1:24">
      <c r="A47" s="234"/>
      <c r="B47" s="234" t="s">
        <v>19</v>
      </c>
      <c r="C47" s="234"/>
      <c r="D47" s="234"/>
      <c r="E47" s="234"/>
      <c r="F47" s="234"/>
      <c r="G47" s="234"/>
      <c r="H47" s="234"/>
      <c r="I47" s="220">
        <f>ROUND(SUM(I30:I45),0)</f>
        <v>0</v>
      </c>
      <c r="J47" s="220">
        <f t="shared" ref="J47:M47" si="8">ROUND(SUM(J30:J45),0)</f>
        <v>0</v>
      </c>
      <c r="K47" s="220">
        <f t="shared" si="8"/>
        <v>0</v>
      </c>
      <c r="L47" s="220">
        <f t="shared" si="8"/>
        <v>0</v>
      </c>
      <c r="M47" s="220">
        <f t="shared" si="8"/>
        <v>0</v>
      </c>
      <c r="N47" s="220">
        <f>SUM(I47:M47)</f>
        <v>0</v>
      </c>
      <c r="O47" s="181"/>
      <c r="P47" s="125"/>
      <c r="U47" s="123"/>
      <c r="W47" s="113"/>
      <c r="X47" s="113"/>
    </row>
    <row r="48" spans="1:24" s="104" customFormat="1">
      <c r="A48" s="99"/>
      <c r="B48" s="105"/>
      <c r="C48" s="105"/>
      <c r="D48" s="105"/>
      <c r="E48" s="105"/>
      <c r="F48" s="105"/>
      <c r="G48" s="105"/>
      <c r="H48" s="99"/>
      <c r="I48" s="127"/>
      <c r="J48" s="127"/>
      <c r="K48" s="127"/>
      <c r="L48" s="127"/>
      <c r="M48" s="127"/>
      <c r="N48" s="127"/>
      <c r="O48" s="182"/>
      <c r="P48" s="101"/>
      <c r="Q48" s="126"/>
      <c r="R48" s="120"/>
      <c r="S48" s="121"/>
      <c r="T48" s="121"/>
      <c r="U48" s="121"/>
    </row>
    <row r="49" spans="1:21">
      <c r="A49" s="234"/>
      <c r="B49" s="234" t="s">
        <v>20</v>
      </c>
      <c r="C49" s="234"/>
      <c r="D49" s="234"/>
      <c r="E49" s="234"/>
      <c r="F49" s="234"/>
      <c r="G49" s="234"/>
      <c r="H49" s="234"/>
      <c r="I49" s="220">
        <f t="shared" ref="I49:N49" si="9">I47+I27</f>
        <v>0</v>
      </c>
      <c r="J49" s="220">
        <f t="shared" si="9"/>
        <v>0</v>
      </c>
      <c r="K49" s="220">
        <f t="shared" si="9"/>
        <v>0</v>
      </c>
      <c r="L49" s="220">
        <f t="shared" si="9"/>
        <v>0</v>
      </c>
      <c r="M49" s="220">
        <f t="shared" si="9"/>
        <v>0</v>
      </c>
      <c r="N49" s="220">
        <f t="shared" si="9"/>
        <v>0</v>
      </c>
      <c r="O49" s="181"/>
      <c r="P49" s="125"/>
    </row>
    <row r="50" spans="1:21" s="104" customFormat="1">
      <c r="A50" s="99"/>
      <c r="B50" s="105"/>
      <c r="C50" s="105"/>
      <c r="D50" s="105"/>
      <c r="E50" s="105"/>
      <c r="F50" s="105"/>
      <c r="G50" s="105"/>
      <c r="H50" s="99"/>
      <c r="I50" s="127"/>
      <c r="J50" s="127"/>
      <c r="K50" s="127"/>
      <c r="L50" s="127"/>
      <c r="M50" s="127"/>
      <c r="N50" s="127"/>
      <c r="O50" s="182"/>
      <c r="P50" s="101"/>
      <c r="Q50" s="126"/>
      <c r="R50" s="120"/>
      <c r="S50" s="121"/>
      <c r="T50" s="121"/>
      <c r="U50" s="121"/>
    </row>
    <row r="51" spans="1:21">
      <c r="A51" s="104" t="s">
        <v>21</v>
      </c>
      <c r="B51" s="105"/>
      <c r="C51" s="105"/>
      <c r="D51" s="105"/>
      <c r="E51" s="105"/>
      <c r="F51" s="105"/>
      <c r="G51" s="105"/>
      <c r="I51" s="182">
        <v>0</v>
      </c>
      <c r="J51" s="182">
        <v>0</v>
      </c>
      <c r="K51" s="182">
        <v>0</v>
      </c>
      <c r="L51" s="182">
        <v>0</v>
      </c>
      <c r="M51" s="182">
        <v>0</v>
      </c>
      <c r="N51" s="112">
        <f>SUM(I51:M51)</f>
        <v>0</v>
      </c>
      <c r="O51" s="112"/>
      <c r="P51" s="129"/>
    </row>
    <row r="52" spans="1:21">
      <c r="B52" s="105"/>
      <c r="C52" s="105"/>
      <c r="D52" s="105"/>
      <c r="E52" s="105"/>
      <c r="F52" s="105"/>
      <c r="G52" s="105"/>
      <c r="H52" s="105"/>
      <c r="I52" s="127"/>
      <c r="J52" s="127"/>
      <c r="K52" s="127"/>
      <c r="L52" s="127"/>
      <c r="M52" s="127"/>
      <c r="N52" s="127"/>
      <c r="O52" s="128"/>
      <c r="P52" s="129"/>
      <c r="Q52" s="130"/>
      <c r="T52" s="121"/>
    </row>
    <row r="53" spans="1:21">
      <c r="A53" s="234" t="s">
        <v>22</v>
      </c>
      <c r="B53" s="234"/>
      <c r="C53" s="234"/>
      <c r="D53" s="234"/>
      <c r="E53" s="234"/>
      <c r="F53" s="234"/>
      <c r="G53" s="234"/>
      <c r="H53" s="234"/>
      <c r="I53" s="220">
        <f>ROUND(SUM(I51:I51),0)</f>
        <v>0</v>
      </c>
      <c r="J53" s="220">
        <f t="shared" ref="J53:M53" si="10">ROUND(SUM(J51:J51),0)</f>
        <v>0</v>
      </c>
      <c r="K53" s="220">
        <f t="shared" si="10"/>
        <v>0</v>
      </c>
      <c r="L53" s="220">
        <f t="shared" si="10"/>
        <v>0</v>
      </c>
      <c r="M53" s="220">
        <f t="shared" si="10"/>
        <v>0</v>
      </c>
      <c r="N53" s="220">
        <f>SUM(I53:M53)</f>
        <v>0</v>
      </c>
      <c r="O53" s="181"/>
      <c r="P53" s="131"/>
      <c r="Q53" s="130"/>
      <c r="T53" s="121"/>
    </row>
    <row r="54" spans="1:21" s="104" customFormat="1">
      <c r="A54" s="99"/>
      <c r="B54" s="105"/>
      <c r="C54" s="105"/>
      <c r="D54" s="105"/>
      <c r="E54" s="105"/>
      <c r="F54" s="105"/>
      <c r="G54" s="105"/>
      <c r="H54" s="99"/>
      <c r="I54" s="127"/>
      <c r="J54" s="127"/>
      <c r="K54" s="127"/>
      <c r="L54" s="127"/>
      <c r="M54" s="127"/>
      <c r="N54" s="127"/>
      <c r="O54" s="182"/>
      <c r="P54" s="101"/>
      <c r="Q54" s="132"/>
      <c r="R54" s="120"/>
      <c r="S54" s="121"/>
      <c r="T54" s="121"/>
      <c r="U54" s="121"/>
    </row>
    <row r="55" spans="1:21">
      <c r="A55" s="104" t="s">
        <v>181</v>
      </c>
      <c r="I55" s="268" t="s">
        <v>182</v>
      </c>
      <c r="J55" s="268"/>
      <c r="K55" s="268"/>
      <c r="L55" s="268"/>
      <c r="M55" s="268"/>
      <c r="N55" s="268"/>
      <c r="O55" s="183"/>
    </row>
    <row r="56" spans="1:21">
      <c r="A56" s="104">
        <v>1</v>
      </c>
      <c r="B56" s="105" t="s">
        <v>23</v>
      </c>
      <c r="C56" s="105"/>
      <c r="D56" s="105"/>
      <c r="E56" s="105"/>
      <c r="F56" s="105"/>
      <c r="G56" s="105"/>
      <c r="I56" s="216">
        <f>'Travel Worksheet'!E83</f>
        <v>0</v>
      </c>
      <c r="J56" s="216">
        <f>'Travel Worksheet'!E84</f>
        <v>0</v>
      </c>
      <c r="K56" s="216">
        <f>'Travel Worksheet'!E85</f>
        <v>0</v>
      </c>
      <c r="L56" s="216">
        <f>'Travel Worksheet'!E86</f>
        <v>0</v>
      </c>
      <c r="M56" s="216">
        <f>'Travel Worksheet'!E87</f>
        <v>0</v>
      </c>
      <c r="N56" s="214">
        <f>SUM(I56:M56)</f>
        <v>0</v>
      </c>
      <c r="O56" s="112"/>
      <c r="P56" s="133"/>
    </row>
    <row r="57" spans="1:21">
      <c r="A57" s="104">
        <v>2</v>
      </c>
      <c r="B57" s="105" t="s">
        <v>24</v>
      </c>
      <c r="C57" s="105"/>
      <c r="D57" s="105"/>
      <c r="E57" s="105"/>
      <c r="F57" s="105"/>
      <c r="G57" s="105"/>
      <c r="I57" s="216">
        <f>'Travel Worksheet'!M83</f>
        <v>0</v>
      </c>
      <c r="J57" s="216">
        <f>'Travel Worksheet'!M84</f>
        <v>0</v>
      </c>
      <c r="K57" s="216">
        <f>'Travel Worksheet'!M85</f>
        <v>0</v>
      </c>
      <c r="L57" s="216">
        <f>'Travel Worksheet'!M86</f>
        <v>0</v>
      </c>
      <c r="M57" s="216">
        <f>'Travel Worksheet'!M87</f>
        <v>0</v>
      </c>
      <c r="N57" s="214">
        <f>SUM(I57:M57)</f>
        <v>0</v>
      </c>
      <c r="O57" s="112"/>
      <c r="P57" s="129"/>
      <c r="Q57" s="130"/>
      <c r="T57" s="121"/>
    </row>
    <row r="58" spans="1:21">
      <c r="B58" s="105"/>
      <c r="C58" s="105"/>
      <c r="D58" s="105"/>
      <c r="E58" s="105"/>
      <c r="F58" s="105"/>
      <c r="G58" s="105"/>
      <c r="H58" s="105"/>
      <c r="I58" s="127"/>
      <c r="J58" s="127"/>
      <c r="K58" s="127"/>
      <c r="L58" s="127"/>
      <c r="M58" s="127"/>
      <c r="N58" s="127"/>
      <c r="O58" s="128"/>
      <c r="P58" s="129"/>
      <c r="Q58" s="130"/>
      <c r="T58" s="121"/>
    </row>
    <row r="59" spans="1:21">
      <c r="A59" s="234"/>
      <c r="B59" s="234" t="s">
        <v>25</v>
      </c>
      <c r="C59" s="234"/>
      <c r="D59" s="234"/>
      <c r="E59" s="234"/>
      <c r="F59" s="234"/>
      <c r="G59" s="234"/>
      <c r="H59" s="234"/>
      <c r="I59" s="220">
        <f>ROUND(SUM(I56:I57),0)</f>
        <v>0</v>
      </c>
      <c r="J59" s="220">
        <f>ROUND(SUM(J56:J57),0)</f>
        <v>0</v>
      </c>
      <c r="K59" s="220">
        <f>ROUND(SUM(K56:K57),0)</f>
        <v>0</v>
      </c>
      <c r="L59" s="220">
        <f>ROUND(SUM(L56:L57),0)</f>
        <v>0</v>
      </c>
      <c r="M59" s="220">
        <f>ROUND(SUM(M56:M57),0)</f>
        <v>0</v>
      </c>
      <c r="N59" s="220">
        <f>SUM(I59:M59)</f>
        <v>0</v>
      </c>
      <c r="O59" s="181"/>
      <c r="P59" s="131"/>
      <c r="Q59" s="130"/>
      <c r="T59" s="121"/>
    </row>
    <row r="60" spans="1:21" s="104" customFormat="1">
      <c r="A60" s="99"/>
      <c r="B60" s="105"/>
      <c r="C60" s="105"/>
      <c r="D60" s="105"/>
      <c r="E60" s="105"/>
      <c r="F60" s="105"/>
      <c r="G60" s="105"/>
      <c r="H60" s="99"/>
      <c r="I60" s="127"/>
      <c r="J60" s="127"/>
      <c r="K60" s="127"/>
      <c r="L60" s="127"/>
      <c r="M60" s="127"/>
      <c r="N60" s="127"/>
      <c r="O60" s="182"/>
      <c r="P60" s="101"/>
      <c r="Q60" s="132"/>
      <c r="R60" s="120"/>
      <c r="S60" s="121"/>
      <c r="T60" s="121"/>
      <c r="U60" s="121"/>
    </row>
    <row r="61" spans="1:21">
      <c r="A61" s="104" t="s">
        <v>26</v>
      </c>
      <c r="I61" s="127"/>
      <c r="J61" s="127"/>
      <c r="K61" s="127"/>
      <c r="L61" s="127"/>
      <c r="M61" s="127"/>
      <c r="N61" s="127"/>
      <c r="O61" s="182"/>
    </row>
    <row r="62" spans="1:21">
      <c r="A62" s="104">
        <v>1</v>
      </c>
      <c r="B62" s="105" t="s">
        <v>27</v>
      </c>
      <c r="C62" s="105"/>
      <c r="D62" s="105"/>
      <c r="E62" s="105"/>
      <c r="F62" s="105"/>
      <c r="G62" s="105"/>
      <c r="I62" s="182">
        <v>0</v>
      </c>
      <c r="J62" s="182">
        <v>0</v>
      </c>
      <c r="K62" s="182">
        <v>0</v>
      </c>
      <c r="L62" s="182">
        <v>0</v>
      </c>
      <c r="M62" s="182">
        <v>0</v>
      </c>
      <c r="N62" s="214">
        <f>SUM(I62:M62)</f>
        <v>0</v>
      </c>
      <c r="O62" s="112"/>
    </row>
    <row r="63" spans="1:21">
      <c r="A63" s="104">
        <v>2</v>
      </c>
      <c r="B63" s="99" t="s">
        <v>28</v>
      </c>
      <c r="I63" s="182">
        <v>0</v>
      </c>
      <c r="J63" s="182">
        <v>0</v>
      </c>
      <c r="K63" s="182">
        <v>0</v>
      </c>
      <c r="L63" s="182">
        <v>0</v>
      </c>
      <c r="M63" s="182">
        <v>0</v>
      </c>
      <c r="N63" s="214">
        <f>SUM(I63:M63)</f>
        <v>0</v>
      </c>
      <c r="O63" s="112"/>
      <c r="P63" s="129"/>
      <c r="Q63" s="130"/>
      <c r="T63" s="121"/>
    </row>
    <row r="64" spans="1:21">
      <c r="A64" s="104">
        <v>3</v>
      </c>
      <c r="B64" s="99" t="s">
        <v>29</v>
      </c>
      <c r="I64" s="182">
        <v>0</v>
      </c>
      <c r="J64" s="182">
        <v>0</v>
      </c>
      <c r="K64" s="182">
        <v>0</v>
      </c>
      <c r="L64" s="182">
        <v>0</v>
      </c>
      <c r="M64" s="182">
        <v>0</v>
      </c>
      <c r="N64" s="214">
        <f>SUM(I64:M64)</f>
        <v>0</v>
      </c>
      <c r="O64" s="112"/>
      <c r="P64" s="129"/>
      <c r="Q64" s="130"/>
      <c r="T64" s="121"/>
    </row>
    <row r="65" spans="1:21">
      <c r="A65" s="104">
        <v>4</v>
      </c>
      <c r="B65" s="99" t="s">
        <v>30</v>
      </c>
      <c r="I65" s="182">
        <v>0</v>
      </c>
      <c r="J65" s="182">
        <v>0</v>
      </c>
      <c r="K65" s="182">
        <v>0</v>
      </c>
      <c r="L65" s="182">
        <v>0</v>
      </c>
      <c r="M65" s="182">
        <v>0</v>
      </c>
      <c r="N65" s="214">
        <f>SUM(I65:M65)</f>
        <v>0</v>
      </c>
      <c r="O65" s="112"/>
      <c r="P65" s="129"/>
      <c r="Q65" s="130"/>
      <c r="T65" s="121"/>
    </row>
    <row r="66" spans="1:21">
      <c r="B66" s="105"/>
      <c r="C66" s="105"/>
      <c r="D66" s="105"/>
      <c r="E66" s="105"/>
      <c r="F66" s="105"/>
      <c r="G66" s="105"/>
      <c r="H66" s="105"/>
      <c r="I66" s="127"/>
      <c r="J66" s="127"/>
      <c r="K66" s="127"/>
      <c r="L66" s="127"/>
      <c r="M66" s="127"/>
      <c r="N66" s="127"/>
      <c r="O66" s="128"/>
      <c r="P66" s="129"/>
      <c r="Q66" s="130"/>
      <c r="T66" s="121"/>
    </row>
    <row r="67" spans="1:21">
      <c r="A67" s="234"/>
      <c r="B67" s="234" t="s">
        <v>31</v>
      </c>
      <c r="C67" s="234"/>
      <c r="D67" s="234"/>
      <c r="E67" s="234"/>
      <c r="F67" s="234"/>
      <c r="G67" s="234"/>
      <c r="H67" s="234"/>
      <c r="I67" s="220">
        <f>ROUND(SUM(I62:I65),0)</f>
        <v>0</v>
      </c>
      <c r="J67" s="220">
        <f>ROUND(SUM(J62:J65),0)</f>
        <v>0</v>
      </c>
      <c r="K67" s="220">
        <f>ROUND(SUM(K62:K65),0)</f>
        <v>0</v>
      </c>
      <c r="L67" s="220">
        <f>ROUND(SUM(L62:L65),0)</f>
        <v>0</v>
      </c>
      <c r="M67" s="220">
        <f>ROUND(SUM(M62:M65),0)</f>
        <v>0</v>
      </c>
      <c r="N67" s="220">
        <f>SUM(I67:M67)</f>
        <v>0</v>
      </c>
      <c r="O67" s="181"/>
      <c r="P67" s="131"/>
      <c r="Q67" s="130"/>
      <c r="T67" s="121"/>
    </row>
    <row r="68" spans="1:21" s="104" customFormat="1">
      <c r="A68" s="99"/>
      <c r="B68" s="105"/>
      <c r="C68" s="105"/>
      <c r="D68" s="105"/>
      <c r="E68" s="105"/>
      <c r="F68" s="105"/>
      <c r="G68" s="105"/>
      <c r="H68" s="99"/>
      <c r="I68" s="127"/>
      <c r="J68" s="127"/>
      <c r="K68" s="127"/>
      <c r="L68" s="127"/>
      <c r="M68" s="127"/>
      <c r="N68" s="127"/>
      <c r="O68" s="182"/>
      <c r="P68" s="101"/>
      <c r="Q68" s="132"/>
      <c r="R68" s="120"/>
      <c r="S68" s="121"/>
      <c r="T68" s="121"/>
      <c r="U68" s="121"/>
    </row>
    <row r="69" spans="1:21">
      <c r="A69" s="104" t="s">
        <v>32</v>
      </c>
      <c r="I69" s="134"/>
      <c r="J69" s="134"/>
      <c r="K69" s="134"/>
      <c r="L69" s="134"/>
      <c r="M69" s="134"/>
      <c r="N69" s="134"/>
      <c r="O69" s="176"/>
      <c r="P69" s="129"/>
    </row>
    <row r="70" spans="1:21">
      <c r="A70" s="104">
        <v>1</v>
      </c>
      <c r="B70" s="105" t="s">
        <v>33</v>
      </c>
      <c r="C70" s="105"/>
      <c r="D70" s="105"/>
      <c r="E70" s="105"/>
      <c r="F70" s="105"/>
      <c r="G70" s="105"/>
      <c r="H70" s="105"/>
      <c r="I70" s="176">
        <v>0</v>
      </c>
      <c r="J70" s="176">
        <v>0</v>
      </c>
      <c r="K70" s="176">
        <v>0</v>
      </c>
      <c r="L70" s="176">
        <v>0</v>
      </c>
      <c r="M70" s="176">
        <v>0</v>
      </c>
      <c r="N70" s="214">
        <f t="shared" ref="N70:N76" si="11">SUM(I70:M70)</f>
        <v>0</v>
      </c>
      <c r="O70" s="112"/>
      <c r="P70" s="129"/>
      <c r="Q70" s="135"/>
      <c r="R70" s="109"/>
      <c r="S70" s="117"/>
      <c r="T70" s="117"/>
      <c r="U70" s="117"/>
    </row>
    <row r="71" spans="1:21">
      <c r="A71" s="104">
        <v>2</v>
      </c>
      <c r="B71" s="105" t="s">
        <v>34</v>
      </c>
      <c r="C71" s="105"/>
      <c r="D71" s="105"/>
      <c r="E71" s="105"/>
      <c r="F71" s="105"/>
      <c r="G71" s="105"/>
      <c r="H71" s="105"/>
      <c r="I71" s="176">
        <v>0</v>
      </c>
      <c r="J71" s="176">
        <v>0</v>
      </c>
      <c r="K71" s="176">
        <v>0</v>
      </c>
      <c r="L71" s="176">
        <v>0</v>
      </c>
      <c r="M71" s="176">
        <v>0</v>
      </c>
      <c r="N71" s="214">
        <f t="shared" si="11"/>
        <v>0</v>
      </c>
      <c r="O71" s="112"/>
      <c r="P71" s="136"/>
      <c r="Q71" s="135"/>
      <c r="R71" s="109"/>
      <c r="S71" s="117"/>
      <c r="T71" s="117"/>
      <c r="U71" s="117"/>
    </row>
    <row r="72" spans="1:21">
      <c r="A72" s="104">
        <v>3</v>
      </c>
      <c r="B72" s="105" t="s">
        <v>35</v>
      </c>
      <c r="C72" s="105"/>
      <c r="D72" s="105"/>
      <c r="E72" s="105"/>
      <c r="F72" s="105"/>
      <c r="G72" s="105"/>
      <c r="H72" s="104"/>
      <c r="I72" s="176">
        <v>0</v>
      </c>
      <c r="J72" s="176">
        <v>0</v>
      </c>
      <c r="K72" s="176">
        <v>0</v>
      </c>
      <c r="L72" s="176">
        <v>0</v>
      </c>
      <c r="M72" s="176">
        <v>0</v>
      </c>
      <c r="N72" s="214">
        <f t="shared" si="11"/>
        <v>0</v>
      </c>
      <c r="O72" s="112"/>
      <c r="P72" s="136"/>
      <c r="Q72" s="137"/>
      <c r="R72" s="109"/>
      <c r="S72" s="117"/>
      <c r="T72" s="117"/>
      <c r="U72" s="117"/>
    </row>
    <row r="73" spans="1:21">
      <c r="A73" s="104">
        <v>4</v>
      </c>
      <c r="B73" s="105" t="s">
        <v>36</v>
      </c>
      <c r="C73" s="105"/>
      <c r="D73" s="105"/>
      <c r="E73" s="105"/>
      <c r="F73" s="105"/>
      <c r="G73" s="105"/>
      <c r="H73" s="105"/>
      <c r="I73" s="176">
        <v>0</v>
      </c>
      <c r="J73" s="176">
        <v>0</v>
      </c>
      <c r="K73" s="176">
        <v>0</v>
      </c>
      <c r="L73" s="176">
        <v>0</v>
      </c>
      <c r="M73" s="176">
        <v>0</v>
      </c>
      <c r="N73" s="214">
        <f t="shared" si="11"/>
        <v>0</v>
      </c>
      <c r="O73" s="112"/>
      <c r="P73" s="136"/>
      <c r="Q73" s="137"/>
      <c r="R73" s="109"/>
      <c r="S73" s="117"/>
      <c r="T73" s="117"/>
      <c r="U73" s="117"/>
    </row>
    <row r="74" spans="1:21">
      <c r="A74" s="104">
        <v>5</v>
      </c>
      <c r="B74" s="105" t="s">
        <v>37</v>
      </c>
      <c r="C74" s="105"/>
      <c r="D74" s="105"/>
      <c r="E74" s="105"/>
      <c r="F74" s="105"/>
      <c r="G74" s="105"/>
      <c r="H74" s="105"/>
      <c r="I74" s="176">
        <v>0</v>
      </c>
      <c r="J74" s="176">
        <v>0</v>
      </c>
      <c r="K74" s="176">
        <v>0</v>
      </c>
      <c r="L74" s="176">
        <v>0</v>
      </c>
      <c r="M74" s="176">
        <v>0</v>
      </c>
      <c r="N74" s="214">
        <f t="shared" si="11"/>
        <v>0</v>
      </c>
      <c r="O74" s="112"/>
      <c r="P74" s="136"/>
      <c r="Q74" s="137"/>
      <c r="R74" s="109"/>
      <c r="S74" s="117"/>
      <c r="T74" s="117"/>
      <c r="U74" s="117"/>
    </row>
    <row r="75" spans="1:21">
      <c r="A75" s="104"/>
      <c r="B75" s="105" t="s">
        <v>168</v>
      </c>
      <c r="C75" s="105"/>
      <c r="D75" s="105"/>
      <c r="E75" s="105"/>
      <c r="F75" s="105"/>
      <c r="G75" s="105"/>
      <c r="H75" s="105"/>
      <c r="I75" s="176">
        <v>0</v>
      </c>
      <c r="J75" s="176">
        <v>0</v>
      </c>
      <c r="K75" s="176">
        <v>0</v>
      </c>
      <c r="L75" s="176">
        <v>0</v>
      </c>
      <c r="M75" s="176">
        <v>0</v>
      </c>
      <c r="N75" s="214">
        <f t="shared" si="11"/>
        <v>0</v>
      </c>
      <c r="O75" s="112"/>
      <c r="P75" s="136"/>
      <c r="Q75" s="137"/>
      <c r="R75" s="109"/>
      <c r="S75" s="117"/>
      <c r="T75" s="117"/>
      <c r="U75" s="117"/>
    </row>
    <row r="76" spans="1:21">
      <c r="A76" s="104"/>
      <c r="B76" s="105" t="s">
        <v>167</v>
      </c>
      <c r="C76" s="105"/>
      <c r="D76" s="105"/>
      <c r="E76" s="105"/>
      <c r="F76" s="105"/>
      <c r="G76" s="105"/>
      <c r="H76" s="105"/>
      <c r="I76" s="176">
        <v>0</v>
      </c>
      <c r="J76" s="176">
        <v>0</v>
      </c>
      <c r="K76" s="176">
        <v>0</v>
      </c>
      <c r="L76" s="176">
        <v>0</v>
      </c>
      <c r="M76" s="176">
        <v>0</v>
      </c>
      <c r="N76" s="214">
        <f t="shared" si="11"/>
        <v>0</v>
      </c>
      <c r="O76" s="112"/>
      <c r="P76" s="136"/>
      <c r="Q76" s="137"/>
      <c r="R76" s="109"/>
      <c r="S76" s="117"/>
      <c r="T76" s="117"/>
      <c r="U76" s="117"/>
    </row>
    <row r="77" spans="1:21">
      <c r="A77" s="104">
        <v>6</v>
      </c>
      <c r="B77" s="104" t="s">
        <v>38</v>
      </c>
      <c r="C77" s="104"/>
      <c r="D77" s="104"/>
      <c r="E77" s="104"/>
      <c r="F77" s="104"/>
      <c r="G77" s="104"/>
      <c r="H77" s="105"/>
      <c r="I77" s="134"/>
      <c r="J77" s="134"/>
      <c r="K77" s="134"/>
      <c r="L77" s="134"/>
      <c r="M77" s="134"/>
      <c r="N77" s="134"/>
      <c r="O77" s="176"/>
      <c r="P77" s="136"/>
      <c r="Q77" s="137"/>
      <c r="R77" s="109"/>
      <c r="S77" s="117"/>
      <c r="T77" s="117"/>
      <c r="U77" s="117"/>
    </row>
    <row r="78" spans="1:21">
      <c r="B78" s="105" t="s">
        <v>242</v>
      </c>
      <c r="C78" s="105"/>
      <c r="D78" s="105"/>
      <c r="E78" s="105"/>
      <c r="F78" s="105"/>
      <c r="G78" s="105"/>
      <c r="H78" s="105"/>
      <c r="I78" s="175">
        <f>(SUM(D20,D22)/2.25)*7590</f>
        <v>0</v>
      </c>
      <c r="J78" s="175">
        <f>(SUM(E20,E22)/2.25)*7590*1.08</f>
        <v>0</v>
      </c>
      <c r="K78" s="175">
        <f>(SUM(F20,F22)/2.25)*7590*(1.08^2)</f>
        <v>0</v>
      </c>
      <c r="L78" s="175">
        <f>(SUM(G20,G22)/2.25)*7590*(1.08^3)</f>
        <v>0</v>
      </c>
      <c r="M78" s="175">
        <f>(SUM(H20,H22)/2.25)*7590*(1.08^4)</f>
        <v>0</v>
      </c>
      <c r="N78" s="214">
        <f>SUM(I78:M78)</f>
        <v>0</v>
      </c>
      <c r="O78" s="112"/>
      <c r="P78" s="172"/>
      <c r="Q78" s="137"/>
      <c r="R78" s="109"/>
      <c r="S78" s="117"/>
      <c r="T78" s="117"/>
      <c r="U78" s="117"/>
    </row>
    <row r="79" spans="1:21">
      <c r="A79" s="104"/>
      <c r="B79" s="99" t="s">
        <v>39</v>
      </c>
      <c r="H79" s="105"/>
      <c r="I79" s="176">
        <v>0</v>
      </c>
      <c r="J79" s="176">
        <v>0</v>
      </c>
      <c r="K79" s="176">
        <v>0</v>
      </c>
      <c r="L79" s="176">
        <v>0</v>
      </c>
      <c r="M79" s="176">
        <v>0</v>
      </c>
      <c r="N79" s="214">
        <f>SUM(I79:M79)</f>
        <v>0</v>
      </c>
      <c r="O79" s="112"/>
      <c r="P79" s="138"/>
      <c r="Q79" s="135"/>
      <c r="R79" s="109"/>
      <c r="S79" s="117"/>
      <c r="T79" s="117"/>
      <c r="U79" s="117"/>
    </row>
    <row r="80" spans="1:21">
      <c r="B80" s="105" t="s">
        <v>91</v>
      </c>
      <c r="C80" s="105"/>
      <c r="D80" s="105"/>
      <c r="E80" s="105"/>
      <c r="F80" s="105"/>
      <c r="G80" s="104"/>
      <c r="I80" s="176">
        <v>0</v>
      </c>
      <c r="J80" s="176">
        <v>0</v>
      </c>
      <c r="K80" s="176">
        <v>0</v>
      </c>
      <c r="L80" s="176">
        <v>0</v>
      </c>
      <c r="M80" s="176">
        <v>0</v>
      </c>
      <c r="N80" s="214">
        <f>SUM(I80:M80)</f>
        <v>0</v>
      </c>
      <c r="O80" s="112"/>
      <c r="P80" s="138"/>
      <c r="Q80" s="117"/>
      <c r="R80" s="139"/>
      <c r="S80" s="117"/>
      <c r="T80" s="117"/>
      <c r="U80" s="117"/>
    </row>
    <row r="81" spans="1:25">
      <c r="B81" s="104"/>
      <c r="C81" s="104"/>
      <c r="D81" s="104"/>
      <c r="E81" s="104"/>
      <c r="F81" s="104"/>
      <c r="G81" s="104"/>
      <c r="I81" s="134"/>
      <c r="J81" s="134"/>
      <c r="K81" s="134"/>
      <c r="L81" s="134"/>
      <c r="M81" s="134"/>
      <c r="N81" s="134"/>
      <c r="O81" s="176"/>
      <c r="P81" s="140"/>
      <c r="Q81" s="117"/>
      <c r="R81" s="139"/>
      <c r="S81" s="117"/>
      <c r="T81" s="117"/>
      <c r="U81" s="117"/>
    </row>
    <row r="82" spans="1:25">
      <c r="A82" s="234"/>
      <c r="B82" s="234" t="s">
        <v>40</v>
      </c>
      <c r="C82" s="234"/>
      <c r="D82" s="234"/>
      <c r="E82" s="234"/>
      <c r="F82" s="234"/>
      <c r="G82" s="234"/>
      <c r="H82" s="234"/>
      <c r="I82" s="220">
        <f>ROUND(SUM(I70:I80),0)</f>
        <v>0</v>
      </c>
      <c r="J82" s="220">
        <f>ROUND(SUM(J70:J80),0)</f>
        <v>0</v>
      </c>
      <c r="K82" s="220">
        <f>ROUND(SUM(K70:K80),0)</f>
        <v>0</v>
      </c>
      <c r="L82" s="220">
        <f>ROUND(SUM(L70:L80),0)</f>
        <v>0</v>
      </c>
      <c r="M82" s="220">
        <f>ROUND(SUM(M70:M80),0)</f>
        <v>0</v>
      </c>
      <c r="N82" s="220">
        <f>SUM(I82:M82)</f>
        <v>0</v>
      </c>
      <c r="O82" s="181"/>
      <c r="P82" s="144"/>
      <c r="Q82" s="141"/>
      <c r="R82" s="142"/>
      <c r="S82" s="142"/>
      <c r="T82" s="142"/>
      <c r="U82" s="142"/>
      <c r="V82" s="143"/>
      <c r="W82" s="143"/>
      <c r="X82" s="143"/>
      <c r="Y82" s="143"/>
    </row>
    <row r="83" spans="1:25">
      <c r="I83" s="134"/>
      <c r="J83" s="134"/>
      <c r="K83" s="134"/>
      <c r="L83" s="134"/>
      <c r="M83" s="134"/>
      <c r="N83" s="134"/>
      <c r="O83" s="176"/>
      <c r="P83" s="145"/>
      <c r="Q83" s="141"/>
      <c r="R83" s="142"/>
      <c r="S83" s="143"/>
      <c r="T83" s="143"/>
      <c r="U83" s="143"/>
      <c r="V83" s="143"/>
      <c r="W83" s="143"/>
      <c r="X83" s="143"/>
      <c r="Y83" s="143"/>
    </row>
    <row r="84" spans="1:25">
      <c r="A84" s="104" t="s">
        <v>41</v>
      </c>
      <c r="B84" s="104"/>
      <c r="C84" s="104"/>
      <c r="D84" s="104"/>
      <c r="E84" s="104"/>
      <c r="F84" s="104"/>
      <c r="G84" s="104"/>
      <c r="H84" s="105"/>
      <c r="I84" s="181">
        <f>I82+I67+I59+I53+I47+I27</f>
        <v>0</v>
      </c>
      <c r="J84" s="181">
        <f>J82+J67+J59+J53+J47+J27</f>
        <v>0</v>
      </c>
      <c r="K84" s="181">
        <f>K82+K67+K59+K53+K47+K27</f>
        <v>0</v>
      </c>
      <c r="L84" s="181">
        <f>L82+L67+L59+L53+L47+L27</f>
        <v>0</v>
      </c>
      <c r="M84" s="181">
        <f>M82+M67+M59+M53+M47+M27</f>
        <v>0</v>
      </c>
      <c r="N84" s="181">
        <f>SUM(I84:M84)</f>
        <v>0</v>
      </c>
      <c r="O84" s="181"/>
      <c r="P84" s="146"/>
      <c r="Q84" s="141"/>
      <c r="R84" s="142"/>
      <c r="S84" s="143"/>
      <c r="T84" s="142"/>
      <c r="U84" s="142"/>
      <c r="V84" s="143"/>
      <c r="W84" s="143"/>
      <c r="X84" s="143"/>
      <c r="Y84" s="143"/>
    </row>
    <row r="85" spans="1:25">
      <c r="H85" s="105"/>
      <c r="I85" s="134"/>
      <c r="J85" s="134"/>
      <c r="K85" s="134"/>
      <c r="L85" s="134"/>
      <c r="M85" s="134"/>
      <c r="N85" s="221"/>
      <c r="O85" s="184"/>
      <c r="P85" s="146"/>
      <c r="Q85" s="200"/>
      <c r="R85" s="142"/>
      <c r="S85" s="143"/>
      <c r="T85" s="142"/>
      <c r="U85" s="142"/>
      <c r="V85" s="143"/>
      <c r="W85" s="143"/>
      <c r="X85" s="143"/>
      <c r="Y85" s="143"/>
    </row>
    <row r="86" spans="1:25">
      <c r="A86" s="99" t="s">
        <v>42</v>
      </c>
      <c r="H86" s="105"/>
      <c r="I86" s="175">
        <f>I84-I78-I75-I67-I53</f>
        <v>0</v>
      </c>
      <c r="J86" s="175">
        <f>J84-J78-J75-J67-J53</f>
        <v>0</v>
      </c>
      <c r="K86" s="175">
        <f>K84-K78-K75-K67-K53</f>
        <v>0</v>
      </c>
      <c r="L86" s="175">
        <f>L84-L78-L75-L67-L53</f>
        <v>0</v>
      </c>
      <c r="M86" s="175">
        <f>M84-M78-M75-M67-M53</f>
        <v>0</v>
      </c>
      <c r="N86" s="214">
        <f>SUM(I86:M86)</f>
        <v>0</v>
      </c>
      <c r="O86" s="112"/>
      <c r="P86" s="146"/>
      <c r="Q86" s="198"/>
      <c r="R86" s="198"/>
      <c r="S86" s="198"/>
      <c r="T86" s="198"/>
      <c r="U86" s="198"/>
      <c r="V86" s="198"/>
      <c r="W86" s="198"/>
      <c r="X86" s="143"/>
      <c r="Y86" s="143"/>
    </row>
    <row r="87" spans="1:25">
      <c r="I87" s="134"/>
      <c r="J87" s="134"/>
      <c r="K87" s="134"/>
      <c r="L87" s="134"/>
      <c r="M87" s="134"/>
      <c r="N87" s="221"/>
      <c r="O87" s="184"/>
      <c r="P87" s="140"/>
      <c r="Q87" s="198"/>
      <c r="R87" s="198"/>
      <c r="S87" s="198"/>
      <c r="T87" s="198"/>
      <c r="U87" s="198"/>
      <c r="V87" s="198"/>
      <c r="W87" s="198"/>
      <c r="X87" s="143"/>
      <c r="Y87" s="143"/>
    </row>
    <row r="88" spans="1:25">
      <c r="A88" s="104" t="s">
        <v>203</v>
      </c>
      <c r="I88" s="176"/>
      <c r="J88" s="176"/>
      <c r="K88" s="176"/>
      <c r="L88" s="176"/>
      <c r="M88" s="176"/>
      <c r="N88" s="112"/>
      <c r="O88" s="112"/>
      <c r="P88" s="149"/>
      <c r="Q88" s="192"/>
      <c r="R88" s="193"/>
      <c r="S88" s="264"/>
      <c r="T88" s="264"/>
      <c r="U88" s="264"/>
      <c r="V88" s="264"/>
      <c r="W88" s="264"/>
      <c r="X88" s="143"/>
      <c r="Y88" s="143"/>
    </row>
    <row r="89" spans="1:25">
      <c r="A89" s="105" t="s">
        <v>204</v>
      </c>
      <c r="B89" s="105"/>
      <c r="C89" s="177">
        <v>0.54500000000000004</v>
      </c>
      <c r="I89" s="175">
        <f>IF(AND(DATE(2024,6,30)&lt;$I$3,$I$3&lt;DATE(2025,7,1)),$I$86*($O$6/12)*$C$89,0)</f>
        <v>0</v>
      </c>
      <c r="J89" s="199"/>
      <c r="K89" s="199"/>
      <c r="L89" s="199"/>
      <c r="M89" s="199"/>
      <c r="N89" s="214">
        <f>SUM(I89:M89)</f>
        <v>0</v>
      </c>
      <c r="O89" s="112"/>
      <c r="P89" s="149"/>
      <c r="Q89" s="195"/>
      <c r="R89" s="190"/>
      <c r="S89" s="194"/>
      <c r="T89" s="194"/>
      <c r="U89" s="194"/>
      <c r="V89" s="194"/>
      <c r="W89" s="194"/>
      <c r="X89" s="143"/>
      <c r="Y89" s="143"/>
    </row>
    <row r="90" spans="1:25">
      <c r="A90" s="105" t="s">
        <v>205</v>
      </c>
      <c r="B90" s="105"/>
      <c r="C90" s="177">
        <v>0.55000000000000004</v>
      </c>
      <c r="I90" s="175">
        <f>IF(AND(DATE(2024,6,30)&lt;$I$3,$I$3&lt;DATE(2025,7,1)),$I$86*((12-$O$6)/12)*$C$90,IF(AND(DATE(2025,6,30)&lt;$I$3,$I$3&lt;DATE(2026,7,1)),$I$86*($O$6/12)*$C$90,0))</f>
        <v>0</v>
      </c>
      <c r="J90" s="175">
        <f>IF(AND(DATE(2024,6,30)&lt;$I$3,$I$3&lt;DATE(2025,7,1)),$J$86*($O$6/12)*$C$90,0)</f>
        <v>0</v>
      </c>
      <c r="K90" s="199"/>
      <c r="L90" s="199"/>
      <c r="M90" s="199"/>
      <c r="N90" s="214">
        <f>SUM(I90:M90)</f>
        <v>0</v>
      </c>
      <c r="O90" s="112"/>
      <c r="P90" s="149"/>
      <c r="Q90" s="196"/>
      <c r="R90" s="191"/>
      <c r="S90" s="197"/>
      <c r="T90" s="197"/>
      <c r="U90" s="197"/>
      <c r="V90" s="197"/>
      <c r="W90" s="197"/>
      <c r="X90" s="143"/>
      <c r="Y90" s="143"/>
    </row>
    <row r="91" spans="1:25">
      <c r="A91" s="105" t="s">
        <v>206</v>
      </c>
      <c r="B91" s="105"/>
      <c r="C91" s="177">
        <v>0.55500000000000005</v>
      </c>
      <c r="I91" s="175">
        <f>IF(AND(DATE(2024,6,30)&lt;$I$3,$I$3&lt;DATE(2025,6,30)),0,(IF(AND(DATE(2025,6,30)&lt;$I$3,$I$3&lt;DATE(2026,6,30)),$I$86*((12-$O$6)/12)*$C$91,$I$86*$C$91)))</f>
        <v>0</v>
      </c>
      <c r="J91" s="175">
        <f>IF(AND(DATE(2024,6,30)&lt;$I$3,$I$3&lt;DATE(2025,6,30)),$J$86*((12-$O$6)/12)*$C$91,$J$86*$C$91)</f>
        <v>0</v>
      </c>
      <c r="K91" s="175">
        <f>K86*$C$91</f>
        <v>0</v>
      </c>
      <c r="L91" s="175">
        <f>L86*$C$91</f>
        <v>0</v>
      </c>
      <c r="M91" s="175">
        <f>M86*$C$91</f>
        <v>0</v>
      </c>
      <c r="N91" s="214">
        <f>SUM(I91:M91)</f>
        <v>0</v>
      </c>
      <c r="O91" s="112"/>
      <c r="P91" s="149"/>
      <c r="Q91" s="196"/>
      <c r="R91" s="191"/>
      <c r="S91" s="197"/>
      <c r="T91" s="197"/>
      <c r="U91" s="197"/>
      <c r="V91" s="197"/>
      <c r="W91" s="197"/>
      <c r="X91" s="143"/>
      <c r="Y91" s="143"/>
    </row>
    <row r="92" spans="1:25">
      <c r="B92" s="217" t="s">
        <v>202</v>
      </c>
      <c r="C92" s="238"/>
      <c r="D92" s="108"/>
      <c r="E92" s="108"/>
      <c r="I92" s="222">
        <f>ROUND(SUM(I89:I91),0)</f>
        <v>0</v>
      </c>
      <c r="J92" s="222">
        <f>ROUND(SUM(J89:J91),0)</f>
        <v>0</v>
      </c>
      <c r="K92" s="222">
        <f>ROUND(SUM(K89:K91),0)</f>
        <v>0</v>
      </c>
      <c r="L92" s="222">
        <f>ROUND(SUM(L89:L91),0)</f>
        <v>0</v>
      </c>
      <c r="M92" s="222">
        <f>ROUND(SUM(M89:M91),0)</f>
        <v>0</v>
      </c>
      <c r="N92" s="223">
        <f>SUM(I92:M92)</f>
        <v>0</v>
      </c>
      <c r="O92" s="185"/>
      <c r="P92" s="149"/>
      <c r="Q92" s="196"/>
      <c r="R92" s="191"/>
      <c r="S92" s="197"/>
      <c r="T92" s="197"/>
      <c r="U92" s="197"/>
      <c r="V92" s="197"/>
      <c r="W92" s="197"/>
      <c r="X92" s="143"/>
      <c r="Y92" s="143"/>
    </row>
    <row r="93" spans="1:25">
      <c r="A93" s="104"/>
      <c r="H93" s="105"/>
      <c r="I93" s="134"/>
      <c r="J93" s="134"/>
      <c r="K93" s="134"/>
      <c r="L93" s="134"/>
      <c r="M93" s="134"/>
      <c r="N93" s="221"/>
      <c r="O93" s="184"/>
      <c r="X93" s="143"/>
      <c r="Y93" s="143"/>
    </row>
    <row r="94" spans="1:25">
      <c r="A94" s="235" t="s">
        <v>43</v>
      </c>
      <c r="B94" s="235"/>
      <c r="C94" s="235"/>
      <c r="D94" s="235"/>
      <c r="E94" s="235"/>
      <c r="F94" s="235"/>
      <c r="G94" s="235"/>
      <c r="H94" s="239"/>
      <c r="I94" s="220">
        <f>I92+I84</f>
        <v>0</v>
      </c>
      <c r="J94" s="220">
        <f>J92+J84</f>
        <v>0</v>
      </c>
      <c r="K94" s="220">
        <f>K92+K84</f>
        <v>0</v>
      </c>
      <c r="L94" s="220">
        <f>L92+L84</f>
        <v>0</v>
      </c>
      <c r="M94" s="220">
        <f>M92+M84</f>
        <v>0</v>
      </c>
      <c r="N94" s="224">
        <f>SUM(I94:M94)</f>
        <v>0</v>
      </c>
      <c r="O94" s="186"/>
      <c r="P94" s="106"/>
      <c r="Q94" s="141"/>
      <c r="R94" s="148"/>
      <c r="S94" s="143"/>
      <c r="T94" s="142"/>
      <c r="U94" s="142"/>
      <c r="V94" s="143"/>
      <c r="W94" s="143"/>
      <c r="X94" s="143"/>
      <c r="Y94" s="143"/>
    </row>
    <row r="95" spans="1:25">
      <c r="B95" s="105"/>
      <c r="C95" s="105"/>
      <c r="D95" s="105"/>
      <c r="E95" s="105"/>
      <c r="F95" s="105"/>
      <c r="G95" s="105"/>
      <c r="I95" s="111"/>
      <c r="J95" s="111"/>
      <c r="K95" s="111"/>
      <c r="L95" s="111"/>
      <c r="M95" s="111"/>
      <c r="P95" s="106"/>
      <c r="Q95" s="143"/>
      <c r="R95" s="147"/>
      <c r="S95" s="143"/>
      <c r="T95" s="142"/>
      <c r="U95" s="142"/>
      <c r="V95" s="143"/>
      <c r="W95" s="143"/>
      <c r="X95" s="143"/>
      <c r="Y95" s="143"/>
    </row>
    <row r="96" spans="1:25">
      <c r="I96" s="150"/>
      <c r="P96" s="106"/>
      <c r="Q96" s="143"/>
      <c r="R96" s="177"/>
      <c r="S96" s="143"/>
      <c r="T96" s="143"/>
      <c r="U96" s="143"/>
      <c r="V96" s="143"/>
      <c r="W96" s="143"/>
      <c r="X96" s="143"/>
      <c r="Y96" s="143"/>
    </row>
    <row r="97" spans="1:25">
      <c r="A97" s="151" t="s">
        <v>169</v>
      </c>
      <c r="B97" s="152"/>
      <c r="C97" s="152"/>
      <c r="D97" s="152"/>
      <c r="E97" s="152"/>
      <c r="F97" s="152"/>
      <c r="G97" s="152"/>
      <c r="H97" s="152"/>
      <c r="I97" s="153"/>
      <c r="J97" s="153"/>
      <c r="K97" s="153"/>
      <c r="L97" s="153"/>
      <c r="M97" s="153"/>
      <c r="N97" s="154">
        <f>SUM(I97:M97)</f>
        <v>0</v>
      </c>
      <c r="O97" s="187"/>
      <c r="P97" s="106"/>
      <c r="Q97" s="143"/>
      <c r="R97" s="177"/>
      <c r="S97" s="143"/>
      <c r="T97" s="143"/>
      <c r="U97" s="143"/>
      <c r="V97" s="143"/>
      <c r="W97" s="143"/>
      <c r="X97" s="143"/>
      <c r="Y97" s="143"/>
    </row>
    <row r="98" spans="1:25">
      <c r="A98" s="155" t="s">
        <v>170</v>
      </c>
      <c r="B98" s="156"/>
      <c r="C98" s="156"/>
      <c r="D98" s="156"/>
      <c r="E98" s="156"/>
      <c r="F98" s="156"/>
      <c r="G98" s="156"/>
      <c r="H98" s="156"/>
      <c r="I98" s="157">
        <f t="shared" ref="I98:N98" si="12">I97-I94</f>
        <v>0</v>
      </c>
      <c r="J98" s="157">
        <f t="shared" si="12"/>
        <v>0</v>
      </c>
      <c r="K98" s="157">
        <f t="shared" si="12"/>
        <v>0</v>
      </c>
      <c r="L98" s="157">
        <f t="shared" si="12"/>
        <v>0</v>
      </c>
      <c r="M98" s="157">
        <f t="shared" si="12"/>
        <v>0</v>
      </c>
      <c r="N98" s="158">
        <f t="shared" si="12"/>
        <v>0</v>
      </c>
      <c r="O98" s="187"/>
      <c r="P98" s="159" t="s">
        <v>171</v>
      </c>
      <c r="Q98" s="143"/>
      <c r="R98" s="177"/>
      <c r="S98" s="99"/>
      <c r="T98" s="99"/>
      <c r="U98" s="179"/>
      <c r="V98" s="179"/>
      <c r="W98" s="179"/>
      <c r="X98" s="143"/>
      <c r="Y98" s="143"/>
    </row>
    <row r="99" spans="1:25">
      <c r="H99" s="150"/>
      <c r="Q99" s="143"/>
      <c r="R99" s="147"/>
      <c r="S99" s="143"/>
      <c r="T99" s="143"/>
      <c r="U99" s="143"/>
      <c r="V99" s="143"/>
      <c r="W99" s="143"/>
      <c r="X99" s="143"/>
      <c r="Y99" s="143"/>
    </row>
    <row r="100" spans="1:25">
      <c r="B100" s="160"/>
      <c r="C100" s="160"/>
      <c r="D100" s="160"/>
      <c r="E100" s="160"/>
      <c r="F100" s="160"/>
      <c r="G100" s="160"/>
      <c r="H100" s="161"/>
    </row>
    <row r="101" spans="1:25">
      <c r="B101" s="162"/>
      <c r="C101" s="162"/>
      <c r="D101" s="162"/>
      <c r="E101" s="162"/>
      <c r="F101" s="162"/>
      <c r="G101" s="162"/>
      <c r="H101" s="162"/>
      <c r="J101" s="162"/>
    </row>
    <row r="102" spans="1:25">
      <c r="B102" s="102"/>
      <c r="C102" s="102"/>
      <c r="D102" s="102"/>
      <c r="E102" s="102"/>
      <c r="F102" s="102"/>
      <c r="G102" s="102"/>
      <c r="H102" s="102"/>
      <c r="I102" s="102"/>
      <c r="J102" s="102"/>
      <c r="K102" s="102"/>
      <c r="L102" s="102"/>
      <c r="M102" s="102"/>
    </row>
    <row r="103" spans="1:25" s="102" customFormat="1">
      <c r="A103" s="99"/>
      <c r="B103" s="109"/>
      <c r="I103" s="178"/>
      <c r="J103" s="178"/>
      <c r="K103" s="178"/>
      <c r="L103" s="178"/>
      <c r="M103" s="178"/>
      <c r="N103" s="103"/>
      <c r="O103" s="103"/>
      <c r="P103" s="101"/>
      <c r="Q103" s="105"/>
      <c r="S103" s="103"/>
      <c r="T103" s="103"/>
      <c r="U103" s="103"/>
      <c r="V103" s="99"/>
      <c r="W103" s="99"/>
      <c r="X103" s="99"/>
      <c r="Y103" s="99"/>
    </row>
    <row r="104" spans="1:25" s="102" customFormat="1">
      <c r="A104" s="99"/>
      <c r="I104" s="178"/>
      <c r="J104" s="178"/>
      <c r="K104" s="178"/>
      <c r="L104" s="178"/>
      <c r="M104" s="178"/>
      <c r="N104" s="103"/>
      <c r="O104" s="103"/>
      <c r="P104" s="101"/>
      <c r="Q104" s="105"/>
      <c r="S104" s="103"/>
      <c r="T104" s="103"/>
      <c r="U104" s="103"/>
      <c r="V104" s="99"/>
      <c r="W104" s="99"/>
      <c r="X104" s="99"/>
      <c r="Y104" s="99"/>
    </row>
    <row r="105" spans="1:25" s="102" customFormat="1">
      <c r="A105" s="99"/>
      <c r="I105" s="178"/>
      <c r="J105" s="178"/>
      <c r="K105" s="178"/>
      <c r="L105" s="178"/>
      <c r="M105" s="178"/>
      <c r="N105" s="103"/>
      <c r="O105" s="103"/>
      <c r="P105" s="101"/>
      <c r="Q105" s="105"/>
      <c r="S105" s="103"/>
      <c r="T105" s="103"/>
      <c r="U105" s="103"/>
      <c r="V105" s="99"/>
      <c r="W105" s="99"/>
      <c r="X105" s="99"/>
      <c r="Y105" s="99"/>
    </row>
    <row r="106" spans="1:25" s="102" customFormat="1">
      <c r="A106" s="99"/>
      <c r="N106" s="103"/>
      <c r="O106" s="103"/>
      <c r="P106" s="101"/>
      <c r="Q106" s="99"/>
      <c r="S106" s="103"/>
      <c r="T106" s="103"/>
      <c r="U106" s="103"/>
      <c r="V106" s="99"/>
      <c r="W106" s="99"/>
      <c r="X106" s="99"/>
      <c r="Y106" s="99"/>
    </row>
    <row r="107" spans="1:25" s="102" customFormat="1">
      <c r="A107" s="99"/>
      <c r="B107" s="162"/>
      <c r="C107" s="162"/>
      <c r="D107" s="162"/>
      <c r="E107" s="162"/>
      <c r="F107" s="162"/>
      <c r="G107" s="162"/>
      <c r="H107" s="105"/>
      <c r="I107" s="99"/>
      <c r="J107" s="99"/>
      <c r="K107" s="99"/>
      <c r="L107" s="99"/>
      <c r="M107" s="99"/>
      <c r="N107" s="103"/>
      <c r="O107" s="103"/>
      <c r="P107" s="101"/>
      <c r="Q107" s="99"/>
      <c r="S107" s="103"/>
      <c r="T107" s="103"/>
      <c r="U107" s="103"/>
      <c r="V107" s="99"/>
      <c r="W107" s="99"/>
      <c r="X107" s="99"/>
      <c r="Y107" s="99"/>
    </row>
    <row r="108" spans="1:25" s="102" customFormat="1">
      <c r="A108" s="99"/>
      <c r="B108" s="162"/>
      <c r="D108" s="162"/>
      <c r="E108" s="162"/>
      <c r="F108" s="162"/>
      <c r="G108" s="162"/>
      <c r="H108" s="99"/>
      <c r="I108" s="99"/>
      <c r="J108" s="99"/>
      <c r="K108" s="99"/>
      <c r="L108" s="99"/>
      <c r="M108" s="99"/>
      <c r="N108" s="103"/>
      <c r="O108" s="103"/>
      <c r="P108" s="101"/>
      <c r="Q108" s="99"/>
      <c r="S108" s="103"/>
      <c r="T108" s="103"/>
      <c r="U108" s="103"/>
      <c r="V108" s="99"/>
      <c r="W108" s="99"/>
      <c r="X108" s="99"/>
      <c r="Y108" s="99"/>
    </row>
    <row r="109" spans="1:25" s="102" customFormat="1">
      <c r="A109" s="99"/>
      <c r="B109" s="99"/>
      <c r="D109" s="99"/>
      <c r="E109" s="99"/>
      <c r="F109" s="99"/>
      <c r="G109" s="99"/>
      <c r="H109" s="99"/>
      <c r="I109" s="99"/>
      <c r="J109" s="99"/>
      <c r="K109" s="99"/>
      <c r="L109" s="99"/>
      <c r="M109" s="99"/>
      <c r="N109" s="103"/>
      <c r="O109" s="103"/>
      <c r="P109" s="101"/>
      <c r="Q109" s="99"/>
      <c r="S109" s="103"/>
      <c r="T109" s="103"/>
      <c r="U109" s="103"/>
      <c r="V109" s="99"/>
      <c r="W109" s="99"/>
      <c r="X109" s="99"/>
      <c r="Y109" s="99"/>
    </row>
    <row r="110" spans="1:25">
      <c r="B110" s="162"/>
      <c r="C110" s="102"/>
      <c r="D110" s="162"/>
      <c r="E110" s="162"/>
      <c r="F110" s="162"/>
      <c r="G110" s="162"/>
    </row>
    <row r="111" spans="1:25">
      <c r="B111" s="102"/>
      <c r="C111" s="102"/>
      <c r="D111" s="102"/>
      <c r="E111" s="102"/>
      <c r="F111" s="102"/>
      <c r="G111" s="102"/>
      <c r="H111" s="102"/>
      <c r="I111" s="102"/>
      <c r="J111" s="102"/>
      <c r="K111" s="102"/>
      <c r="L111" s="102"/>
      <c r="M111" s="102"/>
    </row>
    <row r="112" spans="1:25">
      <c r="B112" s="162"/>
      <c r="C112" s="162"/>
      <c r="D112" s="162"/>
      <c r="E112" s="162"/>
      <c r="F112" s="162"/>
      <c r="G112" s="162"/>
    </row>
    <row r="113" spans="2:7">
      <c r="B113" s="162"/>
      <c r="C113" s="162"/>
      <c r="D113" s="162"/>
      <c r="E113" s="162"/>
      <c r="F113" s="162"/>
      <c r="G113" s="162"/>
    </row>
    <row r="114" spans="2:7">
      <c r="B114" s="162"/>
      <c r="C114" s="162"/>
      <c r="D114" s="162"/>
      <c r="E114" s="162"/>
      <c r="F114" s="162"/>
      <c r="G114" s="162"/>
    </row>
  </sheetData>
  <sheetProtection formatCells="0" formatColumns="0" formatRows="0" insertColumns="0" insertRows="0" insertHyperlinks="0" deleteColumns="0" deleteRows="0" sort="0" autoFilter="0" pivotTables="0"/>
  <protectedRanges>
    <protectedRange algorithmName="SHA-512" hashValue="0yP83bTijRn7RVKi6ssKCjD6J4U3nNxnfIy6OZHDLfvrSWVdAbKds0TJHaKToE/CYn2sXXiYnORbmRxnNlc5/Q==" saltValue="SiBiDUnsnh38aKQiXhJxtg==" spinCount="100000" sqref="I56:O57" name="Travel"/>
  </protectedRanges>
  <mergeCells count="8">
    <mergeCell ref="S88:W88"/>
    <mergeCell ref="D8:H8"/>
    <mergeCell ref="C1:G1"/>
    <mergeCell ref="I55:N55"/>
    <mergeCell ref="I1:N1"/>
    <mergeCell ref="A2:H2"/>
    <mergeCell ref="A3:H3"/>
    <mergeCell ref="A5:H5"/>
  </mergeCells>
  <dataValidations count="2">
    <dataValidation type="list" allowBlank="1" showInputMessage="1" showErrorMessage="1" sqref="C10:C13" xr:uid="{465F4A31-1F4B-4889-B163-1C273D55E1C6}">
      <formula1>"SUM, AY, CAL, Hrly"</formula1>
    </dataValidation>
    <dataValidation type="list" allowBlank="1" showInputMessage="1" showErrorMessage="1" sqref="C21 C23" xr:uid="{E4AEB29C-6223-4D32-9F19-2A8DF4A9CF56}">
      <formula1>"SUM, Hrly"</formula1>
    </dataValidation>
  </dataValidations>
  <hyperlinks>
    <hyperlink ref="Q4" r:id="rId1" xr:uid="{45F693FC-1C8F-4A20-8F2D-377F675BA238}"/>
    <hyperlink ref="Q3" r:id="rId2" location=":~:text=GAs%20on%20supplemental%20compensation%20as%20summer%20hires%20who%20are%20continuing%20as%20GAs%20in%20the%20fall%20are%20limited%20to%20no%20more%20than%2035%20hours%20per%20week%20total%20compensation%20during%20the%20summer." display="GA summer cap is 35 hrs/week; (35/40)*456=399" xr:uid="{39C981FE-7AA3-4DD8-BF83-9276631A158A}"/>
    <hyperlink ref="P98" location="'Budget Template (with formulas)'!A1" display="back to top" xr:uid="{EE63BC7B-662B-4AC9-9DC4-A6C2E0DE4429}"/>
    <hyperlink ref="Q1" r:id="rId3" location="2D2fia:~:text=As%20a%20general,funded%20grants." display="NSF 2-month rule" xr:uid="{BED22A3C-F104-4B77-93D9-F0AF41781D14}"/>
    <hyperlink ref="I55:N55" location="'Travel Worksheet'!A1" display="Enter cost data on Travel Worksheet" xr:uid="{77760FBE-CB83-44F8-B187-DD84382B1D10}"/>
    <hyperlink ref="Q5" r:id="rId4" location="ParticipantSupport" xr:uid="{EECD0001-3470-48CF-87CC-D907691EE252}"/>
    <hyperlink ref="Q6" r:id="rId5" location="2D2fv" display="Participant Support Costs (NSF - PAPPG 23-1)" xr:uid="{3E7B4239-B42A-4646-AE33-3B3BA46C294E}"/>
    <hyperlink ref="Q2:V2" r:id="rId6" location=":~:text=GAs%20on%20supplemental%20compensation%20as%20summer%20hires%20who%20are%20continuing%20as%20GAs%20in%20the%20fall%20are%20limited%20to%20no%20more%20than%2035%20hours%20per%20week%20total%20compensation%20during%20the%20summer." display="GA summer cap is 35 hrs/week; (35 hrs/week)*12 weeks=420 hrs" xr:uid="{5B5604A1-1F90-456D-85A7-3354554ABCF0}"/>
    <hyperlink ref="Q1:V1" r:id="rId7" location="ch2D2fia:~:text=As%20a%20general,funded%20grants." display="NSF 2-month rule (PAPPG 24-1)" xr:uid="{482C587E-9CE5-4FA8-A227-4C4B18172AE7}"/>
    <hyperlink ref="Q5:V5" r:id="rId8" location="ch2D2fv" display="Participant Support Costs (NSF - PAPPG 24-1)" xr:uid="{D021070E-348F-41A0-B9B4-2F4B645DD8E0}"/>
    <hyperlink ref="Q7" r:id="rId9" xr:uid="{7E8B0179-6E29-4630-A349-6E58622D9475}"/>
    <hyperlink ref="Q2" r:id="rId10" xr:uid="{FEF4BE6D-E0FB-42E3-BDED-517C7C6DB820}"/>
  </hyperlinks>
  <printOptions horizontalCentered="1" gridLines="1"/>
  <pageMargins left="0.25" right="0.25" top="0.25" bottom="0.25" header="0.5" footer="0.5"/>
  <pageSetup scale="80" orientation="portrait"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5"/>
  <sheetViews>
    <sheetView workbookViewId="0">
      <selection activeCell="E26" sqref="E26"/>
    </sheetView>
  </sheetViews>
  <sheetFormatPr defaultColWidth="12.42578125" defaultRowHeight="15"/>
  <cols>
    <col min="1" max="1" width="25.140625" style="16" customWidth="1"/>
    <col min="2" max="2" width="12.42578125" style="16"/>
    <col min="3" max="3" width="25.140625" style="16" customWidth="1"/>
    <col min="4" max="4" width="12.42578125" style="16"/>
    <col min="5" max="5" width="25.140625" style="16" customWidth="1"/>
    <col min="6" max="6" width="12.42578125" style="16"/>
    <col min="7" max="7" width="24.5703125" style="16" customWidth="1"/>
    <col min="8" max="8" width="12.42578125" style="16"/>
    <col min="9" max="9" width="31.42578125" style="16" bestFit="1" customWidth="1"/>
    <col min="10" max="10" width="12.42578125" style="16"/>
    <col min="11" max="11" width="20" style="16" bestFit="1" customWidth="1"/>
    <col min="12" max="12" width="12.42578125" style="16"/>
    <col min="13" max="13" width="13.5703125" style="16" bestFit="1" customWidth="1"/>
    <col min="14" max="16384" width="12.42578125" style="16"/>
  </cols>
  <sheetData>
    <row r="1" spans="1:14" ht="35.25" customHeight="1">
      <c r="A1" s="274" t="s">
        <v>44</v>
      </c>
      <c r="B1" s="274"/>
      <c r="C1" s="274"/>
      <c r="D1" s="274"/>
      <c r="E1" s="274"/>
      <c r="F1" s="274"/>
      <c r="G1" s="274"/>
      <c r="H1" s="274"/>
      <c r="I1" s="274"/>
      <c r="J1" s="50"/>
      <c r="K1" s="50"/>
      <c r="L1" s="50"/>
      <c r="M1" s="50"/>
      <c r="N1" s="50"/>
    </row>
    <row r="2" spans="1:14">
      <c r="A2" s="23"/>
      <c r="B2" s="50"/>
      <c r="C2" s="23"/>
      <c r="D2" s="50"/>
      <c r="E2" s="23"/>
      <c r="F2" s="50"/>
      <c r="G2" s="50"/>
      <c r="H2" s="50"/>
      <c r="I2" s="50"/>
      <c r="J2" s="50"/>
      <c r="K2" s="50"/>
      <c r="L2" s="50"/>
      <c r="M2" s="50"/>
      <c r="N2" s="50"/>
    </row>
    <row r="3" spans="1:14" ht="30">
      <c r="A3" s="46" t="s">
        <v>45</v>
      </c>
      <c r="B3" s="49" t="s">
        <v>46</v>
      </c>
      <c r="C3" s="46" t="s">
        <v>45</v>
      </c>
      <c r="D3" s="49" t="s">
        <v>46</v>
      </c>
      <c r="E3" s="46" t="s">
        <v>45</v>
      </c>
      <c r="F3" s="49" t="s">
        <v>46</v>
      </c>
      <c r="G3" s="46" t="s">
        <v>18</v>
      </c>
      <c r="H3" s="49" t="s">
        <v>47</v>
      </c>
      <c r="I3" s="17" t="s">
        <v>109</v>
      </c>
      <c r="J3" s="17"/>
      <c r="K3" s="17" t="s">
        <v>100</v>
      </c>
      <c r="L3" s="17"/>
      <c r="M3" s="17"/>
      <c r="N3" s="17"/>
    </row>
    <row r="4" spans="1:14">
      <c r="A4"/>
      <c r="B4"/>
      <c r="C4"/>
      <c r="D4"/>
      <c r="E4"/>
      <c r="F4"/>
      <c r="G4"/>
      <c r="H4"/>
      <c r="I4" s="51"/>
      <c r="J4" s="51"/>
      <c r="K4" s="71" t="s">
        <v>101</v>
      </c>
      <c r="L4" s="71" t="s">
        <v>102</v>
      </c>
      <c r="M4" s="71" t="s">
        <v>103</v>
      </c>
      <c r="N4" s="71"/>
    </row>
    <row r="5" spans="1:14">
      <c r="A5" s="46" t="s">
        <v>48</v>
      </c>
      <c r="B5" s="47"/>
      <c r="C5" s="46" t="s">
        <v>48</v>
      </c>
      <c r="D5" s="46"/>
      <c r="E5" s="46" t="s">
        <v>48</v>
      </c>
      <c r="F5" s="46"/>
      <c r="G5" s="46" t="s">
        <v>49</v>
      </c>
      <c r="H5" s="41"/>
      <c r="I5" s="66"/>
      <c r="J5" s="24"/>
      <c r="K5" s="245" t="s">
        <v>104</v>
      </c>
      <c r="L5" s="51">
        <v>14.7</v>
      </c>
      <c r="M5" s="69">
        <v>45658</v>
      </c>
      <c r="N5" s="244" t="s">
        <v>212</v>
      </c>
    </row>
    <row r="6" spans="1:14">
      <c r="A6" s="53">
        <v>80000</v>
      </c>
      <c r="B6" s="52"/>
      <c r="C6" s="53">
        <v>0</v>
      </c>
      <c r="D6" s="53"/>
      <c r="E6" s="53">
        <v>0</v>
      </c>
      <c r="F6" s="53"/>
      <c r="G6" s="53">
        <v>0</v>
      </c>
      <c r="H6" s="42"/>
      <c r="I6" s="68" t="s">
        <v>107</v>
      </c>
      <c r="K6" s="70" t="s">
        <v>105</v>
      </c>
      <c r="L6" s="51">
        <v>14.7</v>
      </c>
      <c r="M6" s="69">
        <v>45649</v>
      </c>
      <c r="N6" s="246" t="s">
        <v>212</v>
      </c>
    </row>
    <row r="7" spans="1:14">
      <c r="A7"/>
      <c r="B7"/>
      <c r="C7"/>
      <c r="D7"/>
      <c r="E7"/>
      <c r="F7"/>
      <c r="G7"/>
      <c r="H7"/>
      <c r="I7" s="51">
        <v>14.7</v>
      </c>
      <c r="J7" s="24"/>
      <c r="K7" s="245" t="s">
        <v>106</v>
      </c>
      <c r="L7" s="51">
        <v>16.5</v>
      </c>
      <c r="M7" s="69">
        <v>45839</v>
      </c>
      <c r="N7" s="58"/>
    </row>
    <row r="8" spans="1:14">
      <c r="A8" s="46" t="s">
        <v>50</v>
      </c>
      <c r="B8" s="47">
        <v>1</v>
      </c>
      <c r="C8" s="46" t="s">
        <v>50</v>
      </c>
      <c r="D8" s="47">
        <v>1</v>
      </c>
      <c r="E8" s="46" t="s">
        <v>50</v>
      </c>
      <c r="F8" s="47">
        <v>1</v>
      </c>
      <c r="G8" s="46" t="s">
        <v>51</v>
      </c>
      <c r="H8" s="48">
        <v>0.5</v>
      </c>
      <c r="I8" s="70" t="s">
        <v>108</v>
      </c>
      <c r="J8" s="24"/>
      <c r="K8" s="51"/>
      <c r="L8" s="51"/>
      <c r="M8" s="69"/>
      <c r="N8" s="24"/>
    </row>
    <row r="9" spans="1:14">
      <c r="A9" s="87">
        <f>A6*0.000731*456</f>
        <v>26666.879999999997</v>
      </c>
      <c r="B9" s="44"/>
      <c r="C9" s="87">
        <f>C6*0.000731*456</f>
        <v>0</v>
      </c>
      <c r="D9" s="44"/>
      <c r="E9" s="87">
        <f>E6*0.000731*456</f>
        <v>0</v>
      </c>
      <c r="F9" s="44"/>
      <c r="G9" s="87">
        <f>G6/2</f>
        <v>0</v>
      </c>
      <c r="H9" s="41"/>
      <c r="I9" s="24">
        <v>100</v>
      </c>
      <c r="J9" s="51"/>
      <c r="K9" s="24"/>
      <c r="L9" s="51"/>
      <c r="M9" s="69"/>
      <c r="N9" s="51"/>
    </row>
    <row r="10" spans="1:14" ht="15.75" thickBot="1">
      <c r="A10"/>
      <c r="B10"/>
      <c r="C10"/>
      <c r="D10"/>
      <c r="E10"/>
      <c r="F10"/>
      <c r="G10"/>
      <c r="H10"/>
      <c r="I10" s="51"/>
      <c r="J10" s="24"/>
      <c r="K10" s="24"/>
      <c r="L10" s="24"/>
      <c r="M10" s="24"/>
      <c r="N10" s="24"/>
    </row>
    <row r="11" spans="1:14" ht="15.75" thickBot="1">
      <c r="A11" s="46" t="s">
        <v>52</v>
      </c>
      <c r="B11" s="47">
        <v>0.66669999999999996</v>
      </c>
      <c r="C11" s="46" t="s">
        <v>52</v>
      </c>
      <c r="D11" s="47">
        <v>0.66669999999999996</v>
      </c>
      <c r="E11" s="46" t="s">
        <v>52</v>
      </c>
      <c r="F11" s="47">
        <v>0.66669999999999996</v>
      </c>
      <c r="G11" s="46" t="s">
        <v>53</v>
      </c>
      <c r="H11" s="47">
        <v>8.3299999999999999E-2</v>
      </c>
      <c r="I11" s="95">
        <f>I7*I9</f>
        <v>1470</v>
      </c>
      <c r="J11" s="24"/>
      <c r="K11" s="51"/>
      <c r="L11" s="51"/>
      <c r="M11" s="51"/>
      <c r="N11" s="24"/>
    </row>
    <row r="12" spans="1:14">
      <c r="A12" s="87">
        <f>A6*0.000731*456/3/0.5</f>
        <v>17777.919999999998</v>
      </c>
      <c r="B12" s="44"/>
      <c r="C12" s="87">
        <f>C6*0.000731*456/3/0.5</f>
        <v>0</v>
      </c>
      <c r="D12" s="44"/>
      <c r="E12" s="87">
        <f>E6*0.000731*456/3/0.5</f>
        <v>0</v>
      </c>
      <c r="F12" s="44"/>
      <c r="G12" s="87">
        <f>G6/12</f>
        <v>0</v>
      </c>
      <c r="H12" s="41"/>
      <c r="I12" s="51"/>
      <c r="J12" s="51"/>
      <c r="K12" s="51"/>
      <c r="L12" s="51"/>
      <c r="M12" s="51"/>
      <c r="N12" s="51"/>
    </row>
    <row r="13" spans="1:14">
      <c r="A13"/>
      <c r="B13"/>
      <c r="C13"/>
      <c r="D13"/>
      <c r="E13"/>
      <c r="F13"/>
      <c r="G13"/>
      <c r="H13"/>
      <c r="I13" s="24"/>
      <c r="J13" s="51"/>
      <c r="K13" s="24"/>
      <c r="L13" s="24"/>
      <c r="M13" s="24"/>
      <c r="N13" s="51"/>
    </row>
    <row r="14" spans="1:14">
      <c r="A14" s="46" t="s">
        <v>54</v>
      </c>
      <c r="B14" s="47">
        <v>0.33329999999999999</v>
      </c>
      <c r="C14" s="46" t="s">
        <v>54</v>
      </c>
      <c r="D14" s="47">
        <v>0.33329999999999999</v>
      </c>
      <c r="E14" s="46" t="s">
        <v>54</v>
      </c>
      <c r="F14" s="47">
        <v>0.33329999999999999</v>
      </c>
      <c r="G14" s="46" t="s">
        <v>55</v>
      </c>
      <c r="H14" s="47">
        <v>4.165E-2</v>
      </c>
      <c r="I14" s="24"/>
      <c r="J14" s="24"/>
      <c r="K14" s="51"/>
      <c r="L14" s="51"/>
      <c r="M14" s="51"/>
      <c r="N14" s="24"/>
    </row>
    <row r="15" spans="1:14">
      <c r="A15" s="87">
        <f>A6*0.000731*456/3/1</f>
        <v>8888.9599999999991</v>
      </c>
      <c r="B15" s="44"/>
      <c r="C15" s="87">
        <f>C6*0.000731*456/3/1</f>
        <v>0</v>
      </c>
      <c r="D15" s="44"/>
      <c r="E15" s="87">
        <f>E6*0.000731*456/3/1</f>
        <v>0</v>
      </c>
      <c r="F15" s="44"/>
      <c r="G15" s="87">
        <f>G6/26</f>
        <v>0</v>
      </c>
      <c r="H15" s="41"/>
      <c r="I15" s="51"/>
      <c r="J15" s="51"/>
      <c r="K15" s="51"/>
      <c r="L15" s="51"/>
      <c r="M15" s="51"/>
      <c r="N15" s="51"/>
    </row>
    <row r="16" spans="1:14">
      <c r="A16"/>
      <c r="B16"/>
      <c r="C16"/>
      <c r="D16"/>
      <c r="E16"/>
      <c r="F16"/>
      <c r="G16"/>
      <c r="H16"/>
      <c r="I16" s="24"/>
      <c r="J16" s="51"/>
      <c r="K16" s="24"/>
      <c r="L16" s="24"/>
      <c r="M16" s="24"/>
      <c r="N16" s="51"/>
    </row>
    <row r="17" spans="1:14">
      <c r="A17" s="46" t="s">
        <v>56</v>
      </c>
      <c r="B17" s="47">
        <v>0.25</v>
      </c>
      <c r="C17" s="46" t="s">
        <v>56</v>
      </c>
      <c r="D17" s="47">
        <v>0.25</v>
      </c>
      <c r="E17" s="46" t="s">
        <v>56</v>
      </c>
      <c r="F17" s="47">
        <v>0.25</v>
      </c>
      <c r="G17" s="46" t="s">
        <v>57</v>
      </c>
      <c r="H17" s="47">
        <v>2.0825E-2</v>
      </c>
      <c r="I17" s="24"/>
      <c r="J17" s="24"/>
      <c r="K17" s="51"/>
      <c r="L17" s="51"/>
      <c r="M17" s="51"/>
      <c r="N17" s="24"/>
    </row>
    <row r="18" spans="1:14">
      <c r="A18" s="87">
        <f>A24*3</f>
        <v>6666.7199999999993</v>
      </c>
      <c r="B18" s="44"/>
      <c r="C18" s="87">
        <f>C24*3</f>
        <v>0</v>
      </c>
      <c r="D18" s="44"/>
      <c r="E18" s="87">
        <f>E24*3</f>
        <v>0</v>
      </c>
      <c r="F18" s="44"/>
      <c r="G18" s="87">
        <f>G15/2</f>
        <v>0</v>
      </c>
      <c r="H18" s="42"/>
      <c r="I18" s="51"/>
      <c r="J18" s="51"/>
      <c r="K18" s="24"/>
      <c r="L18" s="24"/>
      <c r="M18" s="24"/>
      <c r="N18" s="51"/>
    </row>
    <row r="19" spans="1:14">
      <c r="A19"/>
      <c r="B19"/>
      <c r="C19"/>
      <c r="D19"/>
      <c r="E19"/>
      <c r="F19"/>
      <c r="G19"/>
      <c r="H19"/>
      <c r="I19" s="51"/>
      <c r="J19" s="24"/>
      <c r="K19" s="24"/>
      <c r="L19" s="24"/>
      <c r="M19" s="24"/>
      <c r="N19" s="24"/>
    </row>
    <row r="20" spans="1:14">
      <c r="A20" s="46" t="s">
        <v>58</v>
      </c>
      <c r="B20" s="47">
        <v>0.16669999999999999</v>
      </c>
      <c r="C20" s="46" t="s">
        <v>58</v>
      </c>
      <c r="D20" s="47">
        <v>0.16669999999999999</v>
      </c>
      <c r="E20" s="46" t="s">
        <v>58</v>
      </c>
      <c r="F20" s="47">
        <v>0.16669999999999999</v>
      </c>
      <c r="G20" s="43"/>
      <c r="H20" s="41"/>
      <c r="I20" s="24"/>
      <c r="J20" s="24"/>
      <c r="K20" s="51"/>
      <c r="L20" s="51"/>
      <c r="M20" s="51"/>
      <c r="N20" s="24"/>
    </row>
    <row r="21" spans="1:14">
      <c r="A21" s="87">
        <f>A6*0.000731*456/3/2</f>
        <v>4444.4799999999996</v>
      </c>
      <c r="B21" s="44"/>
      <c r="C21" s="87">
        <f>C6*0.000731*456/3/2</f>
        <v>0</v>
      </c>
      <c r="D21" s="44"/>
      <c r="E21" s="87">
        <f>E6*0.000731*456/3/2</f>
        <v>0</v>
      </c>
      <c r="F21" s="44"/>
      <c r="G21" s="53"/>
      <c r="H21" s="42"/>
      <c r="I21" s="51"/>
      <c r="J21" s="51"/>
      <c r="K21" s="50"/>
      <c r="L21" s="50"/>
      <c r="M21" s="50"/>
      <c r="N21" s="51"/>
    </row>
    <row r="22" spans="1:14">
      <c r="A22"/>
      <c r="B22"/>
      <c r="C22"/>
      <c r="D22"/>
      <c r="E22"/>
      <c r="F22"/>
      <c r="G22"/>
      <c r="H22"/>
      <c r="I22" s="50"/>
      <c r="J22" s="67"/>
      <c r="K22" s="24"/>
      <c r="L22" s="24"/>
      <c r="M22" s="24"/>
      <c r="N22" s="50"/>
    </row>
    <row r="23" spans="1:14">
      <c r="A23" s="46" t="s">
        <v>59</v>
      </c>
      <c r="B23" s="47">
        <v>8.3299999999999999E-2</v>
      </c>
      <c r="C23" s="46" t="s">
        <v>59</v>
      </c>
      <c r="D23" s="47">
        <v>8.3299999999999999E-2</v>
      </c>
      <c r="E23" s="46" t="s">
        <v>59</v>
      </c>
      <c r="F23" s="47">
        <v>8.3299999999999999E-2</v>
      </c>
      <c r="G23" s="45"/>
      <c r="H23" s="54"/>
      <c r="I23" s="51"/>
      <c r="J23" s="24"/>
      <c r="K23" s="51"/>
      <c r="L23" s="51"/>
      <c r="M23" s="51"/>
      <c r="N23" s="24"/>
    </row>
    <row r="24" spans="1:14">
      <c r="A24" s="87">
        <f>A6*0.000731*456/3/4</f>
        <v>2222.2399999999998</v>
      </c>
      <c r="B24" s="55"/>
      <c r="C24" s="87">
        <f>C6*0.000731*456/3/4</f>
        <v>0</v>
      </c>
      <c r="D24" s="53"/>
      <c r="E24" s="87">
        <f>E6*0.000731*456/3/4</f>
        <v>0</v>
      </c>
      <c r="F24" s="45"/>
      <c r="G24" s="53"/>
      <c r="H24" s="54"/>
      <c r="I24" s="51"/>
      <c r="J24" s="51"/>
      <c r="K24" s="24"/>
      <c r="L24" s="24"/>
      <c r="M24" s="24"/>
      <c r="N24" s="51"/>
    </row>
    <row r="25" spans="1:14">
      <c r="A25" s="51"/>
      <c r="B25" s="24"/>
      <c r="C25" s="51"/>
      <c r="D25" s="24"/>
      <c r="E25" s="51"/>
      <c r="F25" s="24"/>
      <c r="G25" s="24"/>
      <c r="H25" s="24"/>
      <c r="I25" s="24"/>
      <c r="J25" s="24"/>
      <c r="K25" s="51"/>
      <c r="L25" s="51"/>
      <c r="M25" s="51"/>
      <c r="N25" s="24"/>
    </row>
    <row r="26" spans="1:14">
      <c r="A26" s="51"/>
      <c r="B26" s="51"/>
      <c r="C26" s="51"/>
      <c r="D26" s="51"/>
      <c r="E26" s="51"/>
      <c r="F26" s="51"/>
      <c r="G26" s="51"/>
      <c r="H26" s="24"/>
      <c r="I26" s="51"/>
      <c r="J26" s="51"/>
      <c r="K26" s="51"/>
      <c r="L26" s="51"/>
      <c r="M26" s="51"/>
      <c r="N26" s="51"/>
    </row>
    <row r="27" spans="1:14">
      <c r="A27" s="51"/>
      <c r="B27" s="51"/>
      <c r="C27" s="51"/>
      <c r="D27" s="51"/>
      <c r="E27" s="51"/>
      <c r="F27" s="51"/>
      <c r="G27" s="51"/>
      <c r="H27" s="24"/>
      <c r="I27" s="51"/>
      <c r="J27" s="51"/>
      <c r="K27" s="51"/>
      <c r="L27" s="51"/>
      <c r="M27" s="51"/>
      <c r="N27" s="51"/>
    </row>
    <row r="28" spans="1:14">
      <c r="A28" s="51"/>
      <c r="B28" s="51"/>
      <c r="C28" s="51"/>
      <c r="D28" s="51"/>
      <c r="E28" s="51"/>
      <c r="F28" s="51"/>
      <c r="G28" s="51"/>
      <c r="H28" s="24"/>
      <c r="I28" s="51"/>
      <c r="J28" s="51"/>
      <c r="K28" s="51"/>
      <c r="L28" s="51"/>
      <c r="M28" s="51"/>
      <c r="N28" s="51"/>
    </row>
    <row r="29" spans="1:14">
      <c r="A29" s="51"/>
      <c r="B29" s="51"/>
      <c r="C29" s="51"/>
      <c r="D29" s="51"/>
      <c r="E29" s="51"/>
      <c r="F29" s="51"/>
      <c r="G29" s="24"/>
      <c r="H29" s="24"/>
      <c r="I29" s="24"/>
      <c r="J29" s="51"/>
      <c r="N29" s="51"/>
    </row>
    <row r="32" spans="1:14">
      <c r="K32" s="51"/>
      <c r="L32" s="51"/>
      <c r="M32" s="51"/>
    </row>
    <row r="33" spans="1:14">
      <c r="A33" s="51"/>
      <c r="B33" s="51"/>
      <c r="C33" s="51"/>
      <c r="D33" s="51"/>
      <c r="E33" s="51"/>
      <c r="F33" s="51"/>
      <c r="G33" s="51"/>
      <c r="H33" s="24"/>
      <c r="I33" s="51"/>
      <c r="J33" s="51"/>
      <c r="K33" s="50"/>
      <c r="L33" s="50"/>
      <c r="M33" s="50"/>
      <c r="N33" s="51"/>
    </row>
    <row r="34" spans="1:14">
      <c r="A34" s="50"/>
      <c r="B34" s="50"/>
      <c r="C34" s="50"/>
      <c r="D34" s="50"/>
      <c r="E34" s="50"/>
      <c r="F34" s="50"/>
      <c r="G34" s="51"/>
      <c r="H34" s="50"/>
      <c r="I34" s="51"/>
      <c r="J34" s="50"/>
      <c r="K34" s="50"/>
      <c r="L34" s="50"/>
      <c r="M34" s="50"/>
      <c r="N34" s="50"/>
    </row>
    <row r="35" spans="1:14">
      <c r="A35" s="50"/>
      <c r="B35" s="50"/>
      <c r="C35" s="50"/>
      <c r="D35" s="50"/>
      <c r="E35" s="50"/>
      <c r="F35" s="50"/>
      <c r="G35" s="51"/>
      <c r="H35" s="50"/>
      <c r="I35" s="51"/>
      <c r="J35" s="50"/>
      <c r="N35" s="50"/>
    </row>
  </sheetData>
  <mergeCells count="1">
    <mergeCell ref="A1:I1"/>
  </mergeCells>
  <phoneticPr fontId="6" type="noConversion"/>
  <hyperlinks>
    <hyperlink ref="N6" r:id="rId1" xr:uid="{EEAA6337-72AD-4A7E-B53C-03C2A90F598B}"/>
    <hyperlink ref="N5" r:id="rId2" xr:uid="{78AE5730-BEBC-487C-8D58-EBD0F9F77614}"/>
  </hyperlinks>
  <pageMargins left="0.75" right="0.75" top="1" bottom="1" header="0.5" footer="0.5"/>
  <pageSetup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37ACB-9A40-4FAA-BF1D-34FF2B6C81DF}">
  <dimension ref="A1:N120"/>
  <sheetViews>
    <sheetView workbookViewId="0">
      <selection activeCell="A112" sqref="A112"/>
    </sheetView>
  </sheetViews>
  <sheetFormatPr defaultRowHeight="12.75"/>
  <cols>
    <col min="1" max="1" width="31.7109375" bestFit="1" customWidth="1"/>
    <col min="2" max="5" width="12.5703125" customWidth="1"/>
    <col min="6" max="6" width="24.42578125" bestFit="1" customWidth="1"/>
    <col min="9" max="9" width="31.7109375" bestFit="1" customWidth="1"/>
    <col min="10" max="13" width="12.5703125" customWidth="1"/>
    <col min="14" max="14" width="24.42578125" bestFit="1" customWidth="1"/>
  </cols>
  <sheetData>
    <row r="1" spans="1:14" ht="18">
      <c r="A1" s="80" t="s">
        <v>119</v>
      </c>
      <c r="C1" s="88" t="s">
        <v>133</v>
      </c>
      <c r="D1" s="88"/>
      <c r="F1" s="88" t="s">
        <v>137</v>
      </c>
      <c r="I1" s="80" t="s">
        <v>118</v>
      </c>
      <c r="J1" s="5"/>
    </row>
    <row r="3" spans="1:14">
      <c r="A3" s="1" t="s">
        <v>60</v>
      </c>
      <c r="I3" s="1" t="s">
        <v>60</v>
      </c>
    </row>
    <row r="4" spans="1:14">
      <c r="A4" s="74" t="s">
        <v>114</v>
      </c>
      <c r="B4" s="275"/>
      <c r="C4" s="275"/>
      <c r="D4" s="275"/>
      <c r="E4" s="275"/>
      <c r="F4" s="275"/>
      <c r="I4" s="74" t="s">
        <v>114</v>
      </c>
      <c r="J4" s="275"/>
      <c r="K4" s="275"/>
      <c r="L4" s="275"/>
      <c r="M4" s="275"/>
      <c r="N4" s="275"/>
    </row>
    <row r="5" spans="1:14">
      <c r="A5" s="74" t="s">
        <v>124</v>
      </c>
      <c r="B5" s="276" t="s">
        <v>177</v>
      </c>
      <c r="C5" s="275"/>
      <c r="D5" s="275"/>
      <c r="E5" s="275"/>
      <c r="F5" s="275"/>
      <c r="I5" s="74" t="s">
        <v>124</v>
      </c>
      <c r="J5" s="276" t="s">
        <v>126</v>
      </c>
      <c r="K5" s="275"/>
      <c r="L5" s="275"/>
      <c r="M5" s="275"/>
      <c r="N5" s="275"/>
    </row>
    <row r="6" spans="1:14">
      <c r="A6" s="74" t="s">
        <v>125</v>
      </c>
      <c r="B6" s="277"/>
      <c r="C6" s="277"/>
      <c r="D6" s="277"/>
      <c r="E6" s="277"/>
      <c r="F6" s="278"/>
      <c r="I6" s="74" t="s">
        <v>125</v>
      </c>
      <c r="J6" s="277"/>
      <c r="K6" s="277"/>
      <c r="L6" s="277"/>
      <c r="M6" s="277"/>
      <c r="N6" s="278"/>
    </row>
    <row r="7" spans="1:14">
      <c r="A7" s="74" t="s">
        <v>127</v>
      </c>
      <c r="B7" s="279">
        <v>1</v>
      </c>
      <c r="C7" s="277"/>
      <c r="D7" s="277"/>
      <c r="E7" s="277"/>
      <c r="F7" s="278"/>
      <c r="I7" s="74" t="s">
        <v>127</v>
      </c>
      <c r="J7" s="279">
        <v>1</v>
      </c>
      <c r="K7" s="277"/>
      <c r="L7" s="277"/>
      <c r="M7" s="277"/>
      <c r="N7" s="278"/>
    </row>
    <row r="8" spans="1:14" ht="25.5">
      <c r="A8" s="39"/>
      <c r="B8" s="75" t="s">
        <v>84</v>
      </c>
      <c r="C8" s="75" t="s">
        <v>61</v>
      </c>
      <c r="D8" s="75" t="s">
        <v>132</v>
      </c>
      <c r="E8" s="75" t="s">
        <v>78</v>
      </c>
      <c r="F8" s="75" t="s">
        <v>113</v>
      </c>
      <c r="I8" s="81"/>
      <c r="J8" s="82" t="s">
        <v>84</v>
      </c>
      <c r="K8" s="82" t="s">
        <v>61</v>
      </c>
      <c r="L8" s="82" t="s">
        <v>132</v>
      </c>
      <c r="M8" s="82" t="s">
        <v>78</v>
      </c>
      <c r="N8" s="82" t="s">
        <v>113</v>
      </c>
    </row>
    <row r="9" spans="1:14">
      <c r="A9" s="40" t="s">
        <v>128</v>
      </c>
      <c r="B9" s="90">
        <v>0</v>
      </c>
      <c r="C9" s="91">
        <v>1</v>
      </c>
      <c r="D9" s="76">
        <f>B9</f>
        <v>0</v>
      </c>
      <c r="E9" s="93">
        <f t="shared" ref="E9:E15" si="0">D9*C9</f>
        <v>0</v>
      </c>
      <c r="F9" s="92"/>
      <c r="I9" s="40" t="s">
        <v>128</v>
      </c>
      <c r="J9" s="90">
        <v>0</v>
      </c>
      <c r="K9" s="91">
        <v>1</v>
      </c>
      <c r="L9" s="86">
        <f>J9</f>
        <v>0</v>
      </c>
      <c r="M9" s="94">
        <f>L9*K9</f>
        <v>0</v>
      </c>
      <c r="N9" s="92"/>
    </row>
    <row r="10" spans="1:14">
      <c r="A10" s="40" t="s">
        <v>135</v>
      </c>
      <c r="B10" s="90">
        <v>0</v>
      </c>
      <c r="C10" s="91">
        <v>1</v>
      </c>
      <c r="D10" s="76">
        <f>B10</f>
        <v>0</v>
      </c>
      <c r="E10" s="93">
        <f t="shared" si="0"/>
        <v>0</v>
      </c>
      <c r="F10" s="92"/>
      <c r="I10" s="40" t="s">
        <v>135</v>
      </c>
      <c r="J10" s="90">
        <v>0</v>
      </c>
      <c r="K10" s="91">
        <v>1</v>
      </c>
      <c r="L10" s="86">
        <f>J10</f>
        <v>0</v>
      </c>
      <c r="M10" s="94">
        <f>L10*K10</f>
        <v>0</v>
      </c>
      <c r="N10" s="92"/>
    </row>
    <row r="11" spans="1:14">
      <c r="A11" s="40" t="s">
        <v>175</v>
      </c>
      <c r="B11" s="90">
        <v>0</v>
      </c>
      <c r="C11" s="91">
        <v>1</v>
      </c>
      <c r="D11" s="76">
        <f>B11</f>
        <v>0</v>
      </c>
      <c r="E11" s="93">
        <f t="shared" si="0"/>
        <v>0</v>
      </c>
      <c r="F11" s="92"/>
      <c r="I11" s="40" t="s">
        <v>175</v>
      </c>
      <c r="J11" s="90">
        <v>0</v>
      </c>
      <c r="K11" s="91">
        <v>1</v>
      </c>
      <c r="L11" s="86">
        <f>J11</f>
        <v>0</v>
      </c>
      <c r="M11" s="94">
        <f>L11*K11</f>
        <v>0</v>
      </c>
      <c r="N11" s="92"/>
    </row>
    <row r="12" spans="1:14">
      <c r="A12" s="40" t="s">
        <v>176</v>
      </c>
      <c r="B12" s="90">
        <v>0</v>
      </c>
      <c r="C12" s="91">
        <v>1</v>
      </c>
      <c r="D12" s="76">
        <f>B6*B12</f>
        <v>0</v>
      </c>
      <c r="E12" s="93">
        <f t="shared" si="0"/>
        <v>0</v>
      </c>
      <c r="F12" s="92"/>
      <c r="I12" s="40" t="s">
        <v>176</v>
      </c>
      <c r="J12" s="90">
        <v>0</v>
      </c>
      <c r="K12" s="91">
        <v>1</v>
      </c>
      <c r="L12" s="86">
        <f>J6*J12</f>
        <v>0</v>
      </c>
      <c r="M12" s="94">
        <f>L12*K12</f>
        <v>0</v>
      </c>
      <c r="N12" s="92"/>
    </row>
    <row r="13" spans="1:14">
      <c r="A13" s="40" t="s">
        <v>129</v>
      </c>
      <c r="B13" s="90">
        <v>0</v>
      </c>
      <c r="C13" s="91">
        <v>1</v>
      </c>
      <c r="D13" s="76">
        <f>B6*B13</f>
        <v>0</v>
      </c>
      <c r="E13" s="93">
        <f t="shared" si="0"/>
        <v>0</v>
      </c>
      <c r="F13" s="92"/>
      <c r="I13" s="40" t="s">
        <v>129</v>
      </c>
      <c r="J13" s="90">
        <v>0</v>
      </c>
      <c r="K13" s="91">
        <v>1</v>
      </c>
      <c r="L13" s="86">
        <f>J6*J13</f>
        <v>0</v>
      </c>
      <c r="M13" s="94">
        <f t="shared" ref="M13:M15" si="1">L13*K13</f>
        <v>0</v>
      </c>
      <c r="N13" s="92"/>
    </row>
    <row r="14" spans="1:14">
      <c r="A14" s="40" t="s">
        <v>130</v>
      </c>
      <c r="B14" s="90">
        <v>0</v>
      </c>
      <c r="C14" s="91">
        <v>1</v>
      </c>
      <c r="D14" s="76">
        <f>(B6-1)*B14</f>
        <v>0</v>
      </c>
      <c r="E14" s="93">
        <f t="shared" si="0"/>
        <v>0</v>
      </c>
      <c r="F14" s="92"/>
      <c r="I14" s="40" t="s">
        <v>130</v>
      </c>
      <c r="J14" s="90">
        <v>0</v>
      </c>
      <c r="K14" s="91">
        <v>1</v>
      </c>
      <c r="L14" s="86">
        <f>(J6-1)*J14</f>
        <v>0</v>
      </c>
      <c r="M14" s="94">
        <f t="shared" si="1"/>
        <v>0</v>
      </c>
      <c r="N14" s="92"/>
    </row>
    <row r="15" spans="1:14">
      <c r="A15" s="40" t="s">
        <v>131</v>
      </c>
      <c r="B15" s="90">
        <v>0</v>
      </c>
      <c r="C15" s="91">
        <v>1</v>
      </c>
      <c r="D15" s="76">
        <f>B6*B15</f>
        <v>0</v>
      </c>
      <c r="E15" s="93">
        <f t="shared" si="0"/>
        <v>0</v>
      </c>
      <c r="F15" s="92"/>
      <c r="I15" s="40" t="s">
        <v>131</v>
      </c>
      <c r="J15" s="90">
        <v>0</v>
      </c>
      <c r="K15" s="91">
        <v>1</v>
      </c>
      <c r="L15" s="86">
        <f>J6*J15</f>
        <v>0</v>
      </c>
      <c r="M15" s="94">
        <f t="shared" si="1"/>
        <v>0</v>
      </c>
      <c r="N15" s="92"/>
    </row>
    <row r="16" spans="1:14">
      <c r="A16" s="280" t="s">
        <v>179</v>
      </c>
      <c r="B16" s="280"/>
      <c r="C16" s="280"/>
      <c r="D16" s="163">
        <f>ROUND(SUM(D9:D15),0)</f>
        <v>0</v>
      </c>
      <c r="E16" s="164">
        <f>ROUND(SUM(E9:E15),0)</f>
        <v>0</v>
      </c>
      <c r="I16" s="280" t="s">
        <v>179</v>
      </c>
      <c r="J16" s="280"/>
      <c r="K16" s="280"/>
      <c r="L16" s="163">
        <f>ROUND(SUM(L9:L15),0)</f>
        <v>0</v>
      </c>
      <c r="M16" s="169">
        <f>ROUND(SUM(M9:M15),0)</f>
        <v>0</v>
      </c>
    </row>
    <row r="17" spans="1:14">
      <c r="A17" s="280" t="s">
        <v>180</v>
      </c>
      <c r="B17" s="280"/>
      <c r="C17" s="280"/>
      <c r="D17" s="165"/>
      <c r="E17" s="14">
        <f>B7*E16</f>
        <v>0</v>
      </c>
      <c r="I17" s="280" t="s">
        <v>180</v>
      </c>
      <c r="J17" s="280"/>
      <c r="K17" s="280"/>
      <c r="L17" s="165"/>
      <c r="M17" s="163">
        <f>J7*M16</f>
        <v>0</v>
      </c>
    </row>
    <row r="18" spans="1:14">
      <c r="A18" s="78"/>
      <c r="B18" s="78"/>
      <c r="C18" s="78"/>
      <c r="D18" s="78"/>
      <c r="E18" s="79"/>
      <c r="F18" s="6"/>
      <c r="I18" s="78"/>
      <c r="J18" s="78"/>
      <c r="K18" s="78"/>
      <c r="L18" s="78"/>
      <c r="M18" s="79"/>
      <c r="N18" s="6"/>
    </row>
    <row r="19" spans="1:14">
      <c r="A19" s="1" t="s">
        <v>5</v>
      </c>
      <c r="I19" s="1" t="s">
        <v>5</v>
      </c>
    </row>
    <row r="20" spans="1:14">
      <c r="A20" s="74" t="s">
        <v>114</v>
      </c>
      <c r="B20" s="275"/>
      <c r="C20" s="275"/>
      <c r="D20" s="275"/>
      <c r="E20" s="275"/>
      <c r="F20" s="275"/>
      <c r="I20" s="74" t="s">
        <v>114</v>
      </c>
      <c r="J20" s="275"/>
      <c r="K20" s="275"/>
      <c r="L20" s="275"/>
      <c r="M20" s="275"/>
      <c r="N20" s="275"/>
    </row>
    <row r="21" spans="1:14">
      <c r="A21" s="74" t="s">
        <v>124</v>
      </c>
      <c r="B21" s="276" t="s">
        <v>177</v>
      </c>
      <c r="C21" s="275"/>
      <c r="D21" s="275"/>
      <c r="E21" s="275"/>
      <c r="F21" s="275"/>
      <c r="I21" s="74" t="s">
        <v>124</v>
      </c>
      <c r="J21" s="276" t="s">
        <v>126</v>
      </c>
      <c r="K21" s="275"/>
      <c r="L21" s="275"/>
      <c r="M21" s="275"/>
      <c r="N21" s="275"/>
    </row>
    <row r="22" spans="1:14">
      <c r="A22" s="74" t="s">
        <v>125</v>
      </c>
      <c r="B22" s="277"/>
      <c r="C22" s="277"/>
      <c r="D22" s="277"/>
      <c r="E22" s="277"/>
      <c r="F22" s="278"/>
      <c r="I22" s="74" t="s">
        <v>125</v>
      </c>
      <c r="J22" s="277"/>
      <c r="K22" s="277"/>
      <c r="L22" s="277"/>
      <c r="M22" s="277"/>
      <c r="N22" s="278"/>
    </row>
    <row r="23" spans="1:14">
      <c r="A23" s="74" t="s">
        <v>127</v>
      </c>
      <c r="B23" s="279">
        <v>1</v>
      </c>
      <c r="C23" s="277"/>
      <c r="D23" s="277"/>
      <c r="E23" s="277"/>
      <c r="F23" s="278"/>
      <c r="I23" s="74" t="s">
        <v>127</v>
      </c>
      <c r="J23" s="279">
        <v>1</v>
      </c>
      <c r="K23" s="277"/>
      <c r="L23" s="277"/>
      <c r="M23" s="277"/>
      <c r="N23" s="278"/>
    </row>
    <row r="24" spans="1:14" ht="25.5">
      <c r="A24" s="39"/>
      <c r="B24" s="75" t="s">
        <v>84</v>
      </c>
      <c r="C24" s="75" t="s">
        <v>61</v>
      </c>
      <c r="D24" s="75" t="s">
        <v>132</v>
      </c>
      <c r="E24" s="75" t="s">
        <v>78</v>
      </c>
      <c r="F24" s="75" t="s">
        <v>113</v>
      </c>
      <c r="I24" s="81"/>
      <c r="J24" s="82" t="s">
        <v>84</v>
      </c>
      <c r="K24" s="82" t="s">
        <v>61</v>
      </c>
      <c r="L24" s="82" t="s">
        <v>132</v>
      </c>
      <c r="M24" s="82" t="s">
        <v>78</v>
      </c>
      <c r="N24" s="82" t="s">
        <v>113</v>
      </c>
    </row>
    <row r="25" spans="1:14">
      <c r="A25" s="40" t="s">
        <v>128</v>
      </c>
      <c r="B25" s="90">
        <v>0</v>
      </c>
      <c r="C25" s="91">
        <v>1</v>
      </c>
      <c r="D25" s="76">
        <f>B25</f>
        <v>0</v>
      </c>
      <c r="E25" s="93">
        <f t="shared" ref="E25:E31" si="2">D25*C25</f>
        <v>0</v>
      </c>
      <c r="F25" s="92"/>
      <c r="I25" s="40" t="s">
        <v>128</v>
      </c>
      <c r="J25" s="90">
        <v>0</v>
      </c>
      <c r="K25" s="91">
        <v>1</v>
      </c>
      <c r="L25" s="86">
        <f>J25</f>
        <v>0</v>
      </c>
      <c r="M25" s="94">
        <f>L25*K25</f>
        <v>0</v>
      </c>
      <c r="N25" s="92"/>
    </row>
    <row r="26" spans="1:14">
      <c r="A26" s="40" t="s">
        <v>135</v>
      </c>
      <c r="B26" s="90">
        <v>0</v>
      </c>
      <c r="C26" s="91">
        <v>1</v>
      </c>
      <c r="D26" s="76">
        <f>B26</f>
        <v>0</v>
      </c>
      <c r="E26" s="93">
        <f t="shared" si="2"/>
        <v>0</v>
      </c>
      <c r="F26" s="92"/>
      <c r="I26" s="40" t="s">
        <v>135</v>
      </c>
      <c r="J26" s="90">
        <v>0</v>
      </c>
      <c r="K26" s="91">
        <v>1</v>
      </c>
      <c r="L26" s="86">
        <f>J26</f>
        <v>0</v>
      </c>
      <c r="M26" s="94">
        <f>L26*K26</f>
        <v>0</v>
      </c>
      <c r="N26" s="92"/>
    </row>
    <row r="27" spans="1:14">
      <c r="A27" s="40" t="s">
        <v>175</v>
      </c>
      <c r="B27" s="90">
        <v>0</v>
      </c>
      <c r="C27" s="91">
        <v>1</v>
      </c>
      <c r="D27" s="76">
        <f>B27</f>
        <v>0</v>
      </c>
      <c r="E27" s="93">
        <f t="shared" si="2"/>
        <v>0</v>
      </c>
      <c r="F27" s="92"/>
      <c r="I27" s="40" t="s">
        <v>175</v>
      </c>
      <c r="J27" s="90">
        <v>0</v>
      </c>
      <c r="K27" s="91">
        <v>1</v>
      </c>
      <c r="L27" s="86">
        <f>J27</f>
        <v>0</v>
      </c>
      <c r="M27" s="94">
        <f>L27*K27</f>
        <v>0</v>
      </c>
      <c r="N27" s="92"/>
    </row>
    <row r="28" spans="1:14">
      <c r="A28" s="40" t="s">
        <v>176</v>
      </c>
      <c r="B28" s="90">
        <v>0</v>
      </c>
      <c r="C28" s="91">
        <v>1</v>
      </c>
      <c r="D28" s="76">
        <f>B22*B28</f>
        <v>0</v>
      </c>
      <c r="E28" s="93">
        <f t="shared" si="2"/>
        <v>0</v>
      </c>
      <c r="F28" s="92"/>
      <c r="I28" s="40" t="s">
        <v>176</v>
      </c>
      <c r="J28" s="90">
        <v>0</v>
      </c>
      <c r="K28" s="91">
        <v>1</v>
      </c>
      <c r="L28" s="86">
        <f>J22*J28</f>
        <v>0</v>
      </c>
      <c r="M28" s="94">
        <f>L28*K28</f>
        <v>0</v>
      </c>
      <c r="N28" s="92"/>
    </row>
    <row r="29" spans="1:14">
      <c r="A29" s="40" t="s">
        <v>129</v>
      </c>
      <c r="B29" s="90">
        <v>0</v>
      </c>
      <c r="C29" s="91">
        <v>1</v>
      </c>
      <c r="D29" s="76">
        <f>B22*B29</f>
        <v>0</v>
      </c>
      <c r="E29" s="93">
        <f t="shared" si="2"/>
        <v>0</v>
      </c>
      <c r="F29" s="92"/>
      <c r="I29" s="40" t="s">
        <v>129</v>
      </c>
      <c r="J29" s="90">
        <v>0</v>
      </c>
      <c r="K29" s="91">
        <v>1</v>
      </c>
      <c r="L29" s="86">
        <f>J22*J29</f>
        <v>0</v>
      </c>
      <c r="M29" s="94">
        <f t="shared" ref="M29:M31" si="3">L29*K29</f>
        <v>0</v>
      </c>
      <c r="N29" s="92"/>
    </row>
    <row r="30" spans="1:14">
      <c r="A30" s="40" t="s">
        <v>130</v>
      </c>
      <c r="B30" s="90">
        <v>0</v>
      </c>
      <c r="C30" s="91">
        <v>1</v>
      </c>
      <c r="D30" s="76">
        <f>(B22-1)*B30</f>
        <v>0</v>
      </c>
      <c r="E30" s="93">
        <f t="shared" si="2"/>
        <v>0</v>
      </c>
      <c r="F30" s="92"/>
      <c r="I30" s="40" t="s">
        <v>130</v>
      </c>
      <c r="J30" s="90">
        <v>0</v>
      </c>
      <c r="K30" s="91">
        <v>1</v>
      </c>
      <c r="L30" s="86">
        <f>(J22-1)*J30</f>
        <v>0</v>
      </c>
      <c r="M30" s="94">
        <f t="shared" si="3"/>
        <v>0</v>
      </c>
      <c r="N30" s="92"/>
    </row>
    <row r="31" spans="1:14">
      <c r="A31" s="40" t="s">
        <v>131</v>
      </c>
      <c r="B31" s="90">
        <v>0</v>
      </c>
      <c r="C31" s="91">
        <v>1</v>
      </c>
      <c r="D31" s="76">
        <f>B22*B31</f>
        <v>0</v>
      </c>
      <c r="E31" s="93">
        <f t="shared" si="2"/>
        <v>0</v>
      </c>
      <c r="F31" s="92"/>
      <c r="I31" s="40" t="s">
        <v>131</v>
      </c>
      <c r="J31" s="90">
        <v>0</v>
      </c>
      <c r="K31" s="91">
        <v>1</v>
      </c>
      <c r="L31" s="86">
        <f>J22*J31</f>
        <v>0</v>
      </c>
      <c r="M31" s="94">
        <f t="shared" si="3"/>
        <v>0</v>
      </c>
      <c r="N31" s="92"/>
    </row>
    <row r="32" spans="1:14">
      <c r="A32" s="280" t="s">
        <v>179</v>
      </c>
      <c r="B32" s="280"/>
      <c r="C32" s="280"/>
      <c r="D32" s="163">
        <f>ROUND(SUM(D25:D31),0)</f>
        <v>0</v>
      </c>
      <c r="E32" s="169">
        <f>ROUND(SUM(E25:E31),0)</f>
        <v>0</v>
      </c>
      <c r="I32" s="280" t="s">
        <v>179</v>
      </c>
      <c r="J32" s="280"/>
      <c r="K32" s="280"/>
      <c r="L32" s="163">
        <f>ROUND(SUM(L25:L31),0)</f>
        <v>0</v>
      </c>
      <c r="M32" s="164">
        <f>ROUND(SUM(M25:M31),0)</f>
        <v>0</v>
      </c>
    </row>
    <row r="33" spans="1:14">
      <c r="A33" s="280" t="s">
        <v>180</v>
      </c>
      <c r="B33" s="280"/>
      <c r="C33" s="280"/>
      <c r="D33" s="165"/>
      <c r="E33" s="163">
        <f>B23*E32</f>
        <v>0</v>
      </c>
      <c r="I33" s="280" t="s">
        <v>180</v>
      </c>
      <c r="J33" s="280"/>
      <c r="K33" s="280"/>
      <c r="L33" s="165"/>
      <c r="M33" s="14">
        <f>J23*M32</f>
        <v>0</v>
      </c>
    </row>
    <row r="34" spans="1:14">
      <c r="A34" s="78"/>
      <c r="B34" s="78"/>
      <c r="C34" s="78"/>
      <c r="D34" s="78"/>
      <c r="E34" s="79"/>
      <c r="F34" s="6"/>
      <c r="I34" s="78"/>
      <c r="J34" s="78"/>
      <c r="K34" s="78"/>
      <c r="L34" s="78"/>
      <c r="M34" s="79"/>
      <c r="N34" s="6"/>
    </row>
    <row r="35" spans="1:14">
      <c r="A35" s="1" t="s">
        <v>6</v>
      </c>
      <c r="I35" s="1" t="s">
        <v>6</v>
      </c>
    </row>
    <row r="36" spans="1:14">
      <c r="A36" s="74" t="s">
        <v>114</v>
      </c>
      <c r="B36" s="275"/>
      <c r="C36" s="275"/>
      <c r="D36" s="275"/>
      <c r="E36" s="275"/>
      <c r="F36" s="275"/>
      <c r="I36" s="74" t="s">
        <v>114</v>
      </c>
      <c r="J36" s="275"/>
      <c r="K36" s="275"/>
      <c r="L36" s="275"/>
      <c r="M36" s="275"/>
      <c r="N36" s="275"/>
    </row>
    <row r="37" spans="1:14">
      <c r="A37" s="74" t="s">
        <v>124</v>
      </c>
      <c r="B37" s="276" t="s">
        <v>177</v>
      </c>
      <c r="C37" s="275"/>
      <c r="D37" s="275"/>
      <c r="E37" s="275"/>
      <c r="F37" s="275"/>
      <c r="I37" s="74" t="s">
        <v>124</v>
      </c>
      <c r="J37" s="276" t="s">
        <v>126</v>
      </c>
      <c r="K37" s="275"/>
      <c r="L37" s="275"/>
      <c r="M37" s="275"/>
      <c r="N37" s="275"/>
    </row>
    <row r="38" spans="1:14">
      <c r="A38" s="74" t="s">
        <v>125</v>
      </c>
      <c r="B38" s="277"/>
      <c r="C38" s="277"/>
      <c r="D38" s="277"/>
      <c r="E38" s="277"/>
      <c r="F38" s="278"/>
      <c r="I38" s="74" t="s">
        <v>125</v>
      </c>
      <c r="J38" s="277"/>
      <c r="K38" s="277"/>
      <c r="L38" s="277"/>
      <c r="M38" s="277"/>
      <c r="N38" s="278"/>
    </row>
    <row r="39" spans="1:14">
      <c r="A39" s="74" t="s">
        <v>127</v>
      </c>
      <c r="B39" s="279">
        <v>1</v>
      </c>
      <c r="C39" s="277"/>
      <c r="D39" s="277"/>
      <c r="E39" s="277"/>
      <c r="F39" s="278"/>
      <c r="I39" s="74" t="s">
        <v>127</v>
      </c>
      <c r="J39" s="279">
        <v>1</v>
      </c>
      <c r="K39" s="277"/>
      <c r="L39" s="277"/>
      <c r="M39" s="277"/>
      <c r="N39" s="278"/>
    </row>
    <row r="40" spans="1:14" ht="25.5">
      <c r="A40" s="39"/>
      <c r="B40" s="75" t="s">
        <v>84</v>
      </c>
      <c r="C40" s="75" t="s">
        <v>61</v>
      </c>
      <c r="D40" s="75" t="s">
        <v>132</v>
      </c>
      <c r="E40" s="75" t="s">
        <v>78</v>
      </c>
      <c r="F40" s="75" t="s">
        <v>113</v>
      </c>
      <c r="I40" s="81"/>
      <c r="J40" s="82" t="s">
        <v>84</v>
      </c>
      <c r="K40" s="82" t="s">
        <v>61</v>
      </c>
      <c r="L40" s="82" t="s">
        <v>132</v>
      </c>
      <c r="M40" s="82" t="s">
        <v>78</v>
      </c>
      <c r="N40" s="82" t="s">
        <v>113</v>
      </c>
    </row>
    <row r="41" spans="1:14">
      <c r="A41" s="40" t="s">
        <v>128</v>
      </c>
      <c r="B41" s="90">
        <v>0</v>
      </c>
      <c r="C41" s="91">
        <v>1</v>
      </c>
      <c r="D41" s="76">
        <f>B41</f>
        <v>0</v>
      </c>
      <c r="E41" s="93">
        <f t="shared" ref="E41:E47" si="4">D41*C41</f>
        <v>0</v>
      </c>
      <c r="F41" s="92"/>
      <c r="I41" s="40" t="s">
        <v>128</v>
      </c>
      <c r="J41" s="90">
        <v>0</v>
      </c>
      <c r="K41" s="91">
        <v>1</v>
      </c>
      <c r="L41" s="86">
        <f>J41</f>
        <v>0</v>
      </c>
      <c r="M41" s="94">
        <f>L41*K41</f>
        <v>0</v>
      </c>
      <c r="N41" s="92"/>
    </row>
    <row r="42" spans="1:14">
      <c r="A42" s="40" t="s">
        <v>135</v>
      </c>
      <c r="B42" s="90">
        <v>0</v>
      </c>
      <c r="C42" s="91">
        <v>1</v>
      </c>
      <c r="D42" s="76">
        <f>B42</f>
        <v>0</v>
      </c>
      <c r="E42" s="93">
        <f t="shared" si="4"/>
        <v>0</v>
      </c>
      <c r="F42" s="92"/>
      <c r="I42" s="40" t="s">
        <v>135</v>
      </c>
      <c r="J42" s="90">
        <v>0</v>
      </c>
      <c r="K42" s="91">
        <v>1</v>
      </c>
      <c r="L42" s="86">
        <f>J42</f>
        <v>0</v>
      </c>
      <c r="M42" s="94">
        <f>L42*K42</f>
        <v>0</v>
      </c>
      <c r="N42" s="92"/>
    </row>
    <row r="43" spans="1:14">
      <c r="A43" s="40" t="s">
        <v>175</v>
      </c>
      <c r="B43" s="90">
        <v>0</v>
      </c>
      <c r="C43" s="91">
        <v>1</v>
      </c>
      <c r="D43" s="76">
        <f>B43</f>
        <v>0</v>
      </c>
      <c r="E43" s="93">
        <f t="shared" si="4"/>
        <v>0</v>
      </c>
      <c r="F43" s="92"/>
      <c r="I43" s="40" t="s">
        <v>175</v>
      </c>
      <c r="J43" s="90">
        <v>0</v>
      </c>
      <c r="K43" s="91">
        <v>1</v>
      </c>
      <c r="L43" s="86">
        <f>J43</f>
        <v>0</v>
      </c>
      <c r="M43" s="94">
        <f>L43*K43</f>
        <v>0</v>
      </c>
      <c r="N43" s="92"/>
    </row>
    <row r="44" spans="1:14">
      <c r="A44" s="40" t="s">
        <v>176</v>
      </c>
      <c r="B44" s="90">
        <v>0</v>
      </c>
      <c r="C44" s="91">
        <v>1</v>
      </c>
      <c r="D44" s="76">
        <f>B38*B44</f>
        <v>0</v>
      </c>
      <c r="E44" s="93">
        <f t="shared" si="4"/>
        <v>0</v>
      </c>
      <c r="F44" s="92"/>
      <c r="I44" s="40" t="s">
        <v>176</v>
      </c>
      <c r="J44" s="90">
        <v>0</v>
      </c>
      <c r="K44" s="91">
        <v>1</v>
      </c>
      <c r="L44" s="86">
        <f>J38*J44</f>
        <v>0</v>
      </c>
      <c r="M44" s="94">
        <f>L44*K44</f>
        <v>0</v>
      </c>
      <c r="N44" s="92"/>
    </row>
    <row r="45" spans="1:14">
      <c r="A45" s="40" t="s">
        <v>129</v>
      </c>
      <c r="B45" s="90">
        <v>0</v>
      </c>
      <c r="C45" s="91">
        <v>1</v>
      </c>
      <c r="D45" s="76">
        <f>B38*B45</f>
        <v>0</v>
      </c>
      <c r="E45" s="93">
        <f t="shared" si="4"/>
        <v>0</v>
      </c>
      <c r="F45" s="92"/>
      <c r="I45" s="40" t="s">
        <v>129</v>
      </c>
      <c r="J45" s="90">
        <v>0</v>
      </c>
      <c r="K45" s="91">
        <v>1</v>
      </c>
      <c r="L45" s="86">
        <f>J38*J45</f>
        <v>0</v>
      </c>
      <c r="M45" s="94">
        <f t="shared" ref="M45:M47" si="5">L45*K45</f>
        <v>0</v>
      </c>
      <c r="N45" s="92"/>
    </row>
    <row r="46" spans="1:14">
      <c r="A46" s="40" t="s">
        <v>130</v>
      </c>
      <c r="B46" s="90">
        <v>0</v>
      </c>
      <c r="C46" s="91">
        <v>1</v>
      </c>
      <c r="D46" s="76">
        <f>(B38-1)*B46</f>
        <v>0</v>
      </c>
      <c r="E46" s="93">
        <f t="shared" si="4"/>
        <v>0</v>
      </c>
      <c r="F46" s="92"/>
      <c r="I46" s="40" t="s">
        <v>130</v>
      </c>
      <c r="J46" s="90">
        <v>0</v>
      </c>
      <c r="K46" s="91">
        <v>1</v>
      </c>
      <c r="L46" s="86">
        <f>(J38-1)*J46</f>
        <v>0</v>
      </c>
      <c r="M46" s="94">
        <f t="shared" si="5"/>
        <v>0</v>
      </c>
      <c r="N46" s="92"/>
    </row>
    <row r="47" spans="1:14">
      <c r="A47" s="40" t="s">
        <v>131</v>
      </c>
      <c r="B47" s="90">
        <v>0</v>
      </c>
      <c r="C47" s="91">
        <v>1</v>
      </c>
      <c r="D47" s="76">
        <f>B38*B47</f>
        <v>0</v>
      </c>
      <c r="E47" s="93">
        <f t="shared" si="4"/>
        <v>0</v>
      </c>
      <c r="F47" s="92"/>
      <c r="I47" s="40" t="s">
        <v>131</v>
      </c>
      <c r="J47" s="90">
        <v>0</v>
      </c>
      <c r="K47" s="91">
        <v>1</v>
      </c>
      <c r="L47" s="86">
        <f>J38*J47</f>
        <v>0</v>
      </c>
      <c r="M47" s="94">
        <f t="shared" si="5"/>
        <v>0</v>
      </c>
      <c r="N47" s="92"/>
    </row>
    <row r="48" spans="1:14">
      <c r="A48" s="280" t="s">
        <v>179</v>
      </c>
      <c r="B48" s="280"/>
      <c r="C48" s="280"/>
      <c r="D48" s="163">
        <f>ROUND(SUM(D41:D47),0)</f>
        <v>0</v>
      </c>
      <c r="E48" s="169">
        <f>ROUND(SUM(E41:E47),0)</f>
        <v>0</v>
      </c>
      <c r="I48" s="280" t="s">
        <v>179</v>
      </c>
      <c r="J48" s="280"/>
      <c r="K48" s="280"/>
      <c r="L48" s="163">
        <f>ROUND(SUM(L41:L47),0)</f>
        <v>0</v>
      </c>
      <c r="M48" s="164">
        <f>ROUND(SUM(M41:M47),0)</f>
        <v>0</v>
      </c>
    </row>
    <row r="49" spans="1:14">
      <c r="A49" s="280" t="s">
        <v>180</v>
      </c>
      <c r="B49" s="280"/>
      <c r="C49" s="280"/>
      <c r="D49" s="165"/>
      <c r="E49" s="163">
        <f>B39*E48</f>
        <v>0</v>
      </c>
      <c r="I49" s="280" t="s">
        <v>180</v>
      </c>
      <c r="J49" s="280"/>
      <c r="K49" s="280"/>
      <c r="L49" s="165"/>
      <c r="M49" s="14">
        <f>J39*M48</f>
        <v>0</v>
      </c>
    </row>
    <row r="50" spans="1:14">
      <c r="A50" s="78"/>
      <c r="B50" s="78"/>
      <c r="C50" s="78"/>
      <c r="D50" s="78"/>
      <c r="E50" s="79"/>
      <c r="F50" s="6"/>
      <c r="I50" s="78"/>
      <c r="J50" s="78"/>
      <c r="K50" s="78"/>
      <c r="L50" s="78"/>
      <c r="M50" s="79"/>
      <c r="N50" s="6"/>
    </row>
    <row r="51" spans="1:14">
      <c r="A51" s="1" t="s">
        <v>7</v>
      </c>
      <c r="I51" s="1" t="s">
        <v>7</v>
      </c>
    </row>
    <row r="52" spans="1:14">
      <c r="A52" s="74" t="s">
        <v>114</v>
      </c>
      <c r="B52" s="275"/>
      <c r="C52" s="275"/>
      <c r="D52" s="275"/>
      <c r="E52" s="275"/>
      <c r="F52" s="275"/>
      <c r="I52" s="74" t="s">
        <v>114</v>
      </c>
      <c r="J52" s="275"/>
      <c r="K52" s="275"/>
      <c r="L52" s="275"/>
      <c r="M52" s="275"/>
      <c r="N52" s="275"/>
    </row>
    <row r="53" spans="1:14">
      <c r="A53" s="74" t="s">
        <v>124</v>
      </c>
      <c r="B53" s="276" t="s">
        <v>177</v>
      </c>
      <c r="C53" s="275"/>
      <c r="D53" s="275"/>
      <c r="E53" s="275"/>
      <c r="F53" s="275"/>
      <c r="I53" s="74" t="s">
        <v>124</v>
      </c>
      <c r="J53" s="276" t="s">
        <v>126</v>
      </c>
      <c r="K53" s="275"/>
      <c r="L53" s="275"/>
      <c r="M53" s="275"/>
      <c r="N53" s="275"/>
    </row>
    <row r="54" spans="1:14">
      <c r="A54" s="74" t="s">
        <v>125</v>
      </c>
      <c r="B54" s="277"/>
      <c r="C54" s="277"/>
      <c r="D54" s="277"/>
      <c r="E54" s="277"/>
      <c r="F54" s="278"/>
      <c r="I54" s="74" t="s">
        <v>125</v>
      </c>
      <c r="J54" s="277"/>
      <c r="K54" s="277"/>
      <c r="L54" s="277"/>
      <c r="M54" s="277"/>
      <c r="N54" s="278"/>
    </row>
    <row r="55" spans="1:14">
      <c r="A55" s="74" t="s">
        <v>127</v>
      </c>
      <c r="B55" s="279">
        <v>1</v>
      </c>
      <c r="C55" s="277"/>
      <c r="D55" s="277"/>
      <c r="E55" s="277"/>
      <c r="F55" s="278"/>
      <c r="I55" s="74" t="s">
        <v>127</v>
      </c>
      <c r="J55" s="279">
        <v>1</v>
      </c>
      <c r="K55" s="277"/>
      <c r="L55" s="277"/>
      <c r="M55" s="277"/>
      <c r="N55" s="278"/>
    </row>
    <row r="56" spans="1:14" ht="25.5">
      <c r="A56" s="39"/>
      <c r="B56" s="75" t="s">
        <v>84</v>
      </c>
      <c r="C56" s="75" t="s">
        <v>61</v>
      </c>
      <c r="D56" s="75" t="s">
        <v>132</v>
      </c>
      <c r="E56" s="75" t="s">
        <v>78</v>
      </c>
      <c r="F56" s="75" t="s">
        <v>113</v>
      </c>
      <c r="I56" s="81"/>
      <c r="J56" s="82" t="s">
        <v>84</v>
      </c>
      <c r="K56" s="82" t="s">
        <v>61</v>
      </c>
      <c r="L56" s="82" t="s">
        <v>132</v>
      </c>
      <c r="M56" s="82" t="s">
        <v>78</v>
      </c>
      <c r="N56" s="82" t="s">
        <v>113</v>
      </c>
    </row>
    <row r="57" spans="1:14">
      <c r="A57" s="40" t="s">
        <v>128</v>
      </c>
      <c r="B57" s="90">
        <v>0</v>
      </c>
      <c r="C57" s="91">
        <v>1</v>
      </c>
      <c r="D57" s="76">
        <f>B57</f>
        <v>0</v>
      </c>
      <c r="E57" s="93">
        <f t="shared" ref="E57:E63" si="6">D57*C57</f>
        <v>0</v>
      </c>
      <c r="F57" s="92"/>
      <c r="I57" s="40" t="s">
        <v>128</v>
      </c>
      <c r="J57" s="90">
        <v>0</v>
      </c>
      <c r="K57" s="91">
        <v>1</v>
      </c>
      <c r="L57" s="86">
        <f>J57</f>
        <v>0</v>
      </c>
      <c r="M57" s="94">
        <f>L57*K57</f>
        <v>0</v>
      </c>
      <c r="N57" s="92"/>
    </row>
    <row r="58" spans="1:14">
      <c r="A58" s="40" t="s">
        <v>135</v>
      </c>
      <c r="B58" s="90">
        <v>0</v>
      </c>
      <c r="C58" s="91">
        <v>1</v>
      </c>
      <c r="D58" s="76">
        <f>B58</f>
        <v>0</v>
      </c>
      <c r="E58" s="93">
        <f t="shared" si="6"/>
        <v>0</v>
      </c>
      <c r="F58" s="92"/>
      <c r="I58" s="40" t="s">
        <v>135</v>
      </c>
      <c r="J58" s="90">
        <v>0</v>
      </c>
      <c r="K58" s="91">
        <v>1</v>
      </c>
      <c r="L58" s="86">
        <f>J58</f>
        <v>0</v>
      </c>
      <c r="M58" s="94">
        <f>L58*K58</f>
        <v>0</v>
      </c>
      <c r="N58" s="92"/>
    </row>
    <row r="59" spans="1:14">
      <c r="A59" s="40" t="s">
        <v>175</v>
      </c>
      <c r="B59" s="90">
        <v>0</v>
      </c>
      <c r="C59" s="91">
        <v>1</v>
      </c>
      <c r="D59" s="76">
        <f>B59</f>
        <v>0</v>
      </c>
      <c r="E59" s="93">
        <f t="shared" si="6"/>
        <v>0</v>
      </c>
      <c r="F59" s="92"/>
      <c r="I59" s="40" t="s">
        <v>175</v>
      </c>
      <c r="J59" s="90">
        <v>0</v>
      </c>
      <c r="K59" s="91">
        <v>1</v>
      </c>
      <c r="L59" s="86">
        <f>J59</f>
        <v>0</v>
      </c>
      <c r="M59" s="94">
        <f>L59*K59</f>
        <v>0</v>
      </c>
      <c r="N59" s="92"/>
    </row>
    <row r="60" spans="1:14">
      <c r="A60" s="40" t="s">
        <v>176</v>
      </c>
      <c r="B60" s="90">
        <v>0</v>
      </c>
      <c r="C60" s="91">
        <v>1</v>
      </c>
      <c r="D60" s="76">
        <f>B54*B60</f>
        <v>0</v>
      </c>
      <c r="E60" s="93">
        <f t="shared" si="6"/>
        <v>0</v>
      </c>
      <c r="F60" s="92"/>
      <c r="I60" s="40" t="s">
        <v>176</v>
      </c>
      <c r="J60" s="90">
        <v>0</v>
      </c>
      <c r="K60" s="91">
        <v>1</v>
      </c>
      <c r="L60" s="86">
        <f>J54*J60</f>
        <v>0</v>
      </c>
      <c r="M60" s="94">
        <f>L60*K60</f>
        <v>0</v>
      </c>
      <c r="N60" s="92"/>
    </row>
    <row r="61" spans="1:14">
      <c r="A61" s="40" t="s">
        <v>129</v>
      </c>
      <c r="B61" s="90">
        <v>0</v>
      </c>
      <c r="C61" s="91">
        <v>1</v>
      </c>
      <c r="D61" s="76">
        <f>B54*B61</f>
        <v>0</v>
      </c>
      <c r="E61" s="93">
        <f t="shared" si="6"/>
        <v>0</v>
      </c>
      <c r="F61" s="92"/>
      <c r="I61" s="40" t="s">
        <v>129</v>
      </c>
      <c r="J61" s="90">
        <v>0</v>
      </c>
      <c r="K61" s="91">
        <v>1</v>
      </c>
      <c r="L61" s="86">
        <f>J54*J61</f>
        <v>0</v>
      </c>
      <c r="M61" s="94">
        <f t="shared" ref="M61:M63" si="7">L61*K61</f>
        <v>0</v>
      </c>
      <c r="N61" s="92"/>
    </row>
    <row r="62" spans="1:14">
      <c r="A62" s="40" t="s">
        <v>130</v>
      </c>
      <c r="B62" s="90">
        <v>0</v>
      </c>
      <c r="C62" s="91">
        <v>1</v>
      </c>
      <c r="D62" s="76">
        <f>(B54-1)*B62</f>
        <v>0</v>
      </c>
      <c r="E62" s="93">
        <f t="shared" si="6"/>
        <v>0</v>
      </c>
      <c r="F62" s="92"/>
      <c r="I62" s="40" t="s">
        <v>130</v>
      </c>
      <c r="J62" s="90">
        <v>0</v>
      </c>
      <c r="K62" s="91">
        <v>1</v>
      </c>
      <c r="L62" s="86">
        <f>(J54-1)*J62</f>
        <v>0</v>
      </c>
      <c r="M62" s="94">
        <f t="shared" si="7"/>
        <v>0</v>
      </c>
      <c r="N62" s="92"/>
    </row>
    <row r="63" spans="1:14">
      <c r="A63" s="40" t="s">
        <v>131</v>
      </c>
      <c r="B63" s="90">
        <v>0</v>
      </c>
      <c r="C63" s="91">
        <v>1</v>
      </c>
      <c r="D63" s="76">
        <f>B54*B63</f>
        <v>0</v>
      </c>
      <c r="E63" s="93">
        <f t="shared" si="6"/>
        <v>0</v>
      </c>
      <c r="F63" s="92"/>
      <c r="I63" s="40" t="s">
        <v>131</v>
      </c>
      <c r="J63" s="90">
        <v>0</v>
      </c>
      <c r="K63" s="91">
        <v>1</v>
      </c>
      <c r="L63" s="86">
        <f>J54*J63</f>
        <v>0</v>
      </c>
      <c r="M63" s="94">
        <f t="shared" si="7"/>
        <v>0</v>
      </c>
      <c r="N63" s="92"/>
    </row>
    <row r="64" spans="1:14">
      <c r="A64" s="280" t="s">
        <v>179</v>
      </c>
      <c r="B64" s="280"/>
      <c r="C64" s="280"/>
      <c r="D64" s="163">
        <f>ROUND(SUM(D57:D63),0)</f>
        <v>0</v>
      </c>
      <c r="E64" s="169">
        <f>ROUND(SUM(E57:E63),0)</f>
        <v>0</v>
      </c>
      <c r="I64" s="280" t="s">
        <v>179</v>
      </c>
      <c r="J64" s="280"/>
      <c r="K64" s="280"/>
      <c r="L64" s="163">
        <f>ROUND(SUM(L57:L63),0)</f>
        <v>0</v>
      </c>
      <c r="M64" s="164">
        <f>ROUND(SUM(M57:M63),0)</f>
        <v>0</v>
      </c>
    </row>
    <row r="65" spans="1:14">
      <c r="A65" s="280" t="s">
        <v>180</v>
      </c>
      <c r="B65" s="280"/>
      <c r="C65" s="280"/>
      <c r="D65" s="165"/>
      <c r="E65" s="163">
        <f>B55*E64</f>
        <v>0</v>
      </c>
      <c r="I65" s="280" t="s">
        <v>180</v>
      </c>
      <c r="J65" s="280"/>
      <c r="K65" s="280"/>
      <c r="L65" s="165"/>
      <c r="M65" s="14">
        <f>J55*M64</f>
        <v>0</v>
      </c>
    </row>
    <row r="66" spans="1:14">
      <c r="A66" s="78"/>
      <c r="B66" s="78"/>
      <c r="C66" s="78"/>
      <c r="D66" s="78"/>
      <c r="E66" s="79"/>
      <c r="F66" s="6"/>
      <c r="I66" s="78"/>
      <c r="J66" s="78"/>
      <c r="K66" s="78"/>
      <c r="L66" s="78"/>
      <c r="M66" s="79"/>
      <c r="N66" s="6"/>
    </row>
    <row r="67" spans="1:14">
      <c r="A67" s="1" t="s">
        <v>8</v>
      </c>
      <c r="I67" s="1" t="s">
        <v>8</v>
      </c>
    </row>
    <row r="68" spans="1:14">
      <c r="A68" s="74" t="s">
        <v>114</v>
      </c>
      <c r="B68" s="275"/>
      <c r="C68" s="275"/>
      <c r="D68" s="275"/>
      <c r="E68" s="275"/>
      <c r="F68" s="275"/>
      <c r="I68" s="74" t="s">
        <v>114</v>
      </c>
      <c r="J68" s="275"/>
      <c r="K68" s="275"/>
      <c r="L68" s="275"/>
      <c r="M68" s="275"/>
      <c r="N68" s="275"/>
    </row>
    <row r="69" spans="1:14">
      <c r="A69" s="74" t="s">
        <v>124</v>
      </c>
      <c r="B69" s="276" t="s">
        <v>177</v>
      </c>
      <c r="C69" s="275"/>
      <c r="D69" s="275"/>
      <c r="E69" s="275"/>
      <c r="F69" s="275"/>
      <c r="I69" s="74" t="s">
        <v>124</v>
      </c>
      <c r="J69" s="276" t="s">
        <v>126</v>
      </c>
      <c r="K69" s="275"/>
      <c r="L69" s="275"/>
      <c r="M69" s="275"/>
      <c r="N69" s="275"/>
    </row>
    <row r="70" spans="1:14">
      <c r="A70" s="74" t="s">
        <v>125</v>
      </c>
      <c r="B70" s="277"/>
      <c r="C70" s="277"/>
      <c r="D70" s="277"/>
      <c r="E70" s="277"/>
      <c r="F70" s="278"/>
      <c r="I70" s="74" t="s">
        <v>125</v>
      </c>
      <c r="J70" s="277"/>
      <c r="K70" s="277"/>
      <c r="L70" s="277"/>
      <c r="M70" s="277"/>
      <c r="N70" s="278"/>
    </row>
    <row r="71" spans="1:14">
      <c r="A71" s="74" t="s">
        <v>127</v>
      </c>
      <c r="B71" s="279">
        <v>1</v>
      </c>
      <c r="C71" s="277"/>
      <c r="D71" s="277"/>
      <c r="E71" s="277"/>
      <c r="F71" s="278"/>
      <c r="I71" s="74" t="s">
        <v>127</v>
      </c>
      <c r="J71" s="279">
        <v>1</v>
      </c>
      <c r="K71" s="277"/>
      <c r="L71" s="277"/>
      <c r="M71" s="277"/>
      <c r="N71" s="278"/>
    </row>
    <row r="72" spans="1:14" ht="25.5">
      <c r="A72" s="39"/>
      <c r="B72" s="75" t="s">
        <v>84</v>
      </c>
      <c r="C72" s="75" t="s">
        <v>61</v>
      </c>
      <c r="D72" s="75" t="s">
        <v>132</v>
      </c>
      <c r="E72" s="75" t="s">
        <v>78</v>
      </c>
      <c r="F72" s="75" t="s">
        <v>113</v>
      </c>
      <c r="I72" s="81"/>
      <c r="J72" s="82" t="s">
        <v>84</v>
      </c>
      <c r="K72" s="82" t="s">
        <v>61</v>
      </c>
      <c r="L72" s="82" t="s">
        <v>132</v>
      </c>
      <c r="M72" s="82" t="s">
        <v>78</v>
      </c>
      <c r="N72" s="82" t="s">
        <v>113</v>
      </c>
    </row>
    <row r="73" spans="1:14">
      <c r="A73" s="40" t="s">
        <v>128</v>
      </c>
      <c r="B73" s="90">
        <v>0</v>
      </c>
      <c r="C73" s="91">
        <v>1</v>
      </c>
      <c r="D73" s="76">
        <f>B73</f>
        <v>0</v>
      </c>
      <c r="E73" s="93">
        <f t="shared" ref="E73:E79" si="8">D73*C73</f>
        <v>0</v>
      </c>
      <c r="F73" s="92"/>
      <c r="I73" s="40" t="s">
        <v>128</v>
      </c>
      <c r="J73" s="90">
        <v>0</v>
      </c>
      <c r="K73" s="91">
        <v>1</v>
      </c>
      <c r="L73" s="86">
        <f>J73</f>
        <v>0</v>
      </c>
      <c r="M73" s="94">
        <f>L73*K73</f>
        <v>0</v>
      </c>
      <c r="N73" s="92"/>
    </row>
    <row r="74" spans="1:14">
      <c r="A74" s="40" t="s">
        <v>135</v>
      </c>
      <c r="B74" s="90">
        <v>0</v>
      </c>
      <c r="C74" s="91">
        <v>1</v>
      </c>
      <c r="D74" s="76">
        <f>B74</f>
        <v>0</v>
      </c>
      <c r="E74" s="93">
        <f t="shared" si="8"/>
        <v>0</v>
      </c>
      <c r="F74" s="92"/>
      <c r="I74" s="40" t="s">
        <v>135</v>
      </c>
      <c r="J74" s="90">
        <v>0</v>
      </c>
      <c r="K74" s="91">
        <v>1</v>
      </c>
      <c r="L74" s="86">
        <f>J74</f>
        <v>0</v>
      </c>
      <c r="M74" s="94">
        <f>L74*K74</f>
        <v>0</v>
      </c>
      <c r="N74" s="92"/>
    </row>
    <row r="75" spans="1:14">
      <c r="A75" s="40" t="s">
        <v>175</v>
      </c>
      <c r="B75" s="90">
        <v>0</v>
      </c>
      <c r="C75" s="91">
        <v>1</v>
      </c>
      <c r="D75" s="76">
        <f>B75</f>
        <v>0</v>
      </c>
      <c r="E75" s="93">
        <f t="shared" si="8"/>
        <v>0</v>
      </c>
      <c r="F75" s="92"/>
      <c r="I75" s="40" t="s">
        <v>175</v>
      </c>
      <c r="J75" s="90">
        <v>0</v>
      </c>
      <c r="K75" s="91">
        <v>1</v>
      </c>
      <c r="L75" s="86">
        <f>J75</f>
        <v>0</v>
      </c>
      <c r="M75" s="94">
        <f>L75*K75</f>
        <v>0</v>
      </c>
      <c r="N75" s="92"/>
    </row>
    <row r="76" spans="1:14">
      <c r="A76" s="40" t="s">
        <v>176</v>
      </c>
      <c r="B76" s="90">
        <v>0</v>
      </c>
      <c r="C76" s="91">
        <v>1</v>
      </c>
      <c r="D76" s="76">
        <f>B70*B76</f>
        <v>0</v>
      </c>
      <c r="E76" s="93">
        <f t="shared" si="8"/>
        <v>0</v>
      </c>
      <c r="F76" s="92"/>
      <c r="I76" s="40" t="s">
        <v>176</v>
      </c>
      <c r="J76" s="90">
        <v>0</v>
      </c>
      <c r="K76" s="91">
        <v>1</v>
      </c>
      <c r="L76" s="86">
        <f>J70*J76</f>
        <v>0</v>
      </c>
      <c r="M76" s="94">
        <f>L76*K76</f>
        <v>0</v>
      </c>
      <c r="N76" s="92"/>
    </row>
    <row r="77" spans="1:14">
      <c r="A77" s="40" t="s">
        <v>129</v>
      </c>
      <c r="B77" s="90">
        <v>0</v>
      </c>
      <c r="C77" s="91">
        <v>1</v>
      </c>
      <c r="D77" s="76">
        <f>B70*B77</f>
        <v>0</v>
      </c>
      <c r="E77" s="93">
        <f t="shared" si="8"/>
        <v>0</v>
      </c>
      <c r="F77" s="92"/>
      <c r="I77" s="40" t="s">
        <v>129</v>
      </c>
      <c r="J77" s="90">
        <v>0</v>
      </c>
      <c r="K77" s="91">
        <v>1</v>
      </c>
      <c r="L77" s="86">
        <f>J70*J77</f>
        <v>0</v>
      </c>
      <c r="M77" s="94">
        <f t="shared" ref="M77:M79" si="9">L77*K77</f>
        <v>0</v>
      </c>
      <c r="N77" s="92"/>
    </row>
    <row r="78" spans="1:14">
      <c r="A78" s="40" t="s">
        <v>130</v>
      </c>
      <c r="B78" s="90">
        <v>0</v>
      </c>
      <c r="C78" s="91">
        <v>1</v>
      </c>
      <c r="D78" s="76">
        <f>(B70-1)*B78</f>
        <v>0</v>
      </c>
      <c r="E78" s="93">
        <f t="shared" si="8"/>
        <v>0</v>
      </c>
      <c r="F78" s="92"/>
      <c r="I78" s="40" t="s">
        <v>130</v>
      </c>
      <c r="J78" s="90">
        <v>0</v>
      </c>
      <c r="K78" s="91">
        <v>1</v>
      </c>
      <c r="L78" s="86">
        <f>(J70-1)*J78</f>
        <v>0</v>
      </c>
      <c r="M78" s="94">
        <f t="shared" si="9"/>
        <v>0</v>
      </c>
      <c r="N78" s="92"/>
    </row>
    <row r="79" spans="1:14">
      <c r="A79" s="40" t="s">
        <v>131</v>
      </c>
      <c r="B79" s="90">
        <v>0</v>
      </c>
      <c r="C79" s="91">
        <v>1</v>
      </c>
      <c r="D79" s="76">
        <f>B70*B79</f>
        <v>0</v>
      </c>
      <c r="E79" s="93">
        <f t="shared" si="8"/>
        <v>0</v>
      </c>
      <c r="F79" s="92"/>
      <c r="I79" s="40" t="s">
        <v>131</v>
      </c>
      <c r="J79" s="90">
        <v>0</v>
      </c>
      <c r="K79" s="91">
        <v>1</v>
      </c>
      <c r="L79" s="86">
        <f>J70*J79</f>
        <v>0</v>
      </c>
      <c r="M79" s="94">
        <f t="shared" si="9"/>
        <v>0</v>
      </c>
      <c r="N79" s="92"/>
    </row>
    <row r="80" spans="1:14">
      <c r="A80" s="280" t="s">
        <v>179</v>
      </c>
      <c r="B80" s="280"/>
      <c r="C80" s="280"/>
      <c r="D80" s="163">
        <f>ROUND(SUM(D73:D79),0)</f>
        <v>0</v>
      </c>
      <c r="E80" s="169">
        <f>ROUND(SUM(E73:E79),0)</f>
        <v>0</v>
      </c>
      <c r="I80" s="280" t="s">
        <v>179</v>
      </c>
      <c r="J80" s="280"/>
      <c r="K80" s="280"/>
      <c r="L80" s="163">
        <f>ROUND(SUM(L73:L79),0)</f>
        <v>0</v>
      </c>
      <c r="M80" s="164">
        <f>ROUND(SUM(M73:M79),0)</f>
        <v>0</v>
      </c>
    </row>
    <row r="81" spans="1:13">
      <c r="A81" s="280" t="s">
        <v>180</v>
      </c>
      <c r="B81" s="280"/>
      <c r="C81" s="280"/>
      <c r="D81" s="165"/>
      <c r="E81" s="163">
        <f>B71*E80</f>
        <v>0</v>
      </c>
      <c r="I81" s="280" t="s">
        <v>180</v>
      </c>
      <c r="J81" s="280"/>
      <c r="K81" s="280"/>
      <c r="L81" s="165"/>
      <c r="M81" s="14">
        <f>J71*M80</f>
        <v>0</v>
      </c>
    </row>
    <row r="83" spans="1:13">
      <c r="A83" s="96" t="s">
        <v>183</v>
      </c>
      <c r="B83" s="89"/>
      <c r="C83" s="89"/>
      <c r="D83" s="89"/>
      <c r="E83" s="167">
        <f>E17</f>
        <v>0</v>
      </c>
      <c r="I83" s="97" t="s">
        <v>188</v>
      </c>
      <c r="J83" s="98"/>
      <c r="K83" s="98"/>
      <c r="L83" s="98"/>
      <c r="M83" s="170">
        <f>M17</f>
        <v>0</v>
      </c>
    </row>
    <row r="84" spans="1:13">
      <c r="A84" s="96" t="s">
        <v>184</v>
      </c>
      <c r="B84" s="89"/>
      <c r="C84" s="89"/>
      <c r="D84" s="89"/>
      <c r="E84" s="167">
        <f>E33</f>
        <v>0</v>
      </c>
      <c r="I84" s="97" t="s">
        <v>189</v>
      </c>
      <c r="J84" s="98"/>
      <c r="K84" s="98"/>
      <c r="L84" s="98"/>
      <c r="M84" s="170">
        <f>M33</f>
        <v>0</v>
      </c>
    </row>
    <row r="85" spans="1:13">
      <c r="A85" s="96" t="s">
        <v>185</v>
      </c>
      <c r="B85" s="89"/>
      <c r="C85" s="89"/>
      <c r="D85" s="89"/>
      <c r="E85" s="167">
        <f>E49</f>
        <v>0</v>
      </c>
      <c r="I85" s="97" t="s">
        <v>190</v>
      </c>
      <c r="J85" s="98"/>
      <c r="K85" s="98"/>
      <c r="L85" s="98"/>
      <c r="M85" s="170">
        <f>M49</f>
        <v>0</v>
      </c>
    </row>
    <row r="86" spans="1:13">
      <c r="A86" s="96" t="s">
        <v>186</v>
      </c>
      <c r="B86" s="89"/>
      <c r="C86" s="89"/>
      <c r="D86" s="89"/>
      <c r="E86" s="167">
        <f>E65</f>
        <v>0</v>
      </c>
      <c r="I86" s="97" t="s">
        <v>191</v>
      </c>
      <c r="J86" s="98"/>
      <c r="K86" s="98"/>
      <c r="L86" s="98"/>
      <c r="M86" s="170">
        <f>M65</f>
        <v>0</v>
      </c>
    </row>
    <row r="87" spans="1:13">
      <c r="A87" s="96" t="s">
        <v>187</v>
      </c>
      <c r="B87" s="89"/>
      <c r="C87" s="89"/>
      <c r="D87" s="89"/>
      <c r="E87" s="167">
        <f>E81</f>
        <v>0</v>
      </c>
      <c r="I87" s="97" t="s">
        <v>192</v>
      </c>
      <c r="J87" s="98"/>
      <c r="K87" s="98"/>
      <c r="L87" s="98"/>
      <c r="M87" s="170">
        <f>M81</f>
        <v>0</v>
      </c>
    </row>
    <row r="88" spans="1:13">
      <c r="E88" s="166"/>
      <c r="M88" s="166"/>
    </row>
    <row r="89" spans="1:13">
      <c r="A89" s="77" t="s">
        <v>134</v>
      </c>
      <c r="B89" s="7"/>
      <c r="C89" s="7"/>
      <c r="D89" s="56"/>
      <c r="E89" s="168">
        <f>SUM(E83:E87)</f>
        <v>0</v>
      </c>
      <c r="I89" s="83" t="s">
        <v>136</v>
      </c>
      <c r="J89" s="84"/>
      <c r="K89" s="84"/>
      <c r="L89" s="85"/>
      <c r="M89" s="171">
        <f>SUM(M83:M87)</f>
        <v>0</v>
      </c>
    </row>
    <row r="93" spans="1:13" ht="15.95" customHeight="1">
      <c r="A93" s="1" t="s">
        <v>120</v>
      </c>
      <c r="B93" s="5"/>
    </row>
    <row r="94" spans="1:13" ht="15.95" customHeight="1">
      <c r="A94" s="58" t="s">
        <v>151</v>
      </c>
    </row>
    <row r="95" spans="1:13" ht="15.95" customHeight="1">
      <c r="A95" s="58" t="s">
        <v>115</v>
      </c>
    </row>
    <row r="96" spans="1:13" ht="15.95" customHeight="1">
      <c r="A96" s="58" t="s">
        <v>149</v>
      </c>
      <c r="B96" s="5"/>
    </row>
    <row r="97" spans="1:4" ht="15.95" customHeight="1">
      <c r="A97" s="58" t="s">
        <v>154</v>
      </c>
    </row>
    <row r="98" spans="1:4" ht="15.95" customHeight="1">
      <c r="A98" s="58" t="s">
        <v>150</v>
      </c>
    </row>
    <row r="99" spans="1:4" ht="15.95" customHeight="1">
      <c r="A99" s="58" t="s">
        <v>117</v>
      </c>
    </row>
    <row r="100" spans="1:4" ht="15.95" customHeight="1">
      <c r="A100" s="58" t="s">
        <v>116</v>
      </c>
    </row>
    <row r="101" spans="1:4" ht="15.95" customHeight="1">
      <c r="A101" s="58" t="s">
        <v>152</v>
      </c>
    </row>
    <row r="102" spans="1:4" ht="15.95" customHeight="1">
      <c r="A102" s="58" t="s">
        <v>153</v>
      </c>
      <c r="D102" s="58" t="s">
        <v>171</v>
      </c>
    </row>
    <row r="103" spans="1:4" ht="15.95" customHeight="1">
      <c r="A103" s="58" t="s">
        <v>174</v>
      </c>
      <c r="D103" s="58"/>
    </row>
    <row r="104" spans="1:4" ht="15.95" customHeight="1">
      <c r="A104" s="5"/>
    </row>
    <row r="105" spans="1:4" ht="15.95" customHeight="1">
      <c r="A105" s="1" t="s">
        <v>146</v>
      </c>
    </row>
    <row r="106" spans="1:4" ht="15.95" customHeight="1">
      <c r="A106" s="58" t="s">
        <v>148</v>
      </c>
    </row>
    <row r="107" spans="1:4" ht="15.95" customHeight="1">
      <c r="A107" s="58" t="s">
        <v>147</v>
      </c>
    </row>
    <row r="108" spans="1:4" ht="15.95" customHeight="1">
      <c r="A108" s="58" t="s">
        <v>155</v>
      </c>
    </row>
    <row r="109" spans="1:4" ht="15.95" customHeight="1">
      <c r="A109" s="58" t="s">
        <v>156</v>
      </c>
      <c r="D109" s="5"/>
    </row>
    <row r="110" spans="1:4" ht="15.95" customHeight="1">
      <c r="A110" s="58" t="s">
        <v>157</v>
      </c>
      <c r="D110" s="58" t="s">
        <v>171</v>
      </c>
    </row>
    <row r="111" spans="1:4" ht="15.95" customHeight="1">
      <c r="A111" s="58"/>
    </row>
    <row r="112" spans="1:4" ht="15.95" customHeight="1"/>
    <row r="113" spans="1:4" ht="15.95" customHeight="1">
      <c r="A113" s="1" t="s">
        <v>143</v>
      </c>
    </row>
    <row r="114" spans="1:4" ht="15.95" customHeight="1">
      <c r="A114" s="1" t="s">
        <v>139</v>
      </c>
      <c r="B114" s="1" t="s">
        <v>140</v>
      </c>
    </row>
    <row r="115" spans="1:4" ht="15.95" customHeight="1">
      <c r="A115" t="s">
        <v>138</v>
      </c>
      <c r="B115" t="s">
        <v>141</v>
      </c>
    </row>
    <row r="116" spans="1:4" ht="15.95" customHeight="1">
      <c r="A116" t="s">
        <v>142</v>
      </c>
      <c r="B116" t="s">
        <v>213</v>
      </c>
    </row>
    <row r="117" spans="1:4" ht="15.95" customHeight="1">
      <c r="A117" s="5" t="s">
        <v>144</v>
      </c>
      <c r="B117" s="5" t="s">
        <v>145</v>
      </c>
    </row>
    <row r="118" spans="1:4" ht="15.95" customHeight="1">
      <c r="A118" s="5" t="s">
        <v>158</v>
      </c>
      <c r="B118" s="5" t="s">
        <v>141</v>
      </c>
    </row>
    <row r="119" spans="1:4" ht="15.95" customHeight="1">
      <c r="A119" s="5" t="s">
        <v>159</v>
      </c>
      <c r="B119" s="5" t="s">
        <v>141</v>
      </c>
    </row>
    <row r="120" spans="1:4" ht="15.95" customHeight="1">
      <c r="A120" s="5" t="s">
        <v>165</v>
      </c>
      <c r="B120" s="5" t="s">
        <v>166</v>
      </c>
      <c r="D120" s="58" t="s">
        <v>171</v>
      </c>
    </row>
  </sheetData>
  <mergeCells count="60">
    <mergeCell ref="J36:N36"/>
    <mergeCell ref="J37:N37"/>
    <mergeCell ref="J38:N38"/>
    <mergeCell ref="J39:N39"/>
    <mergeCell ref="I48:K48"/>
    <mergeCell ref="I49:K49"/>
    <mergeCell ref="I80:K80"/>
    <mergeCell ref="I81:K81"/>
    <mergeCell ref="J52:N52"/>
    <mergeCell ref="J53:N53"/>
    <mergeCell ref="J54:N54"/>
    <mergeCell ref="J55:N55"/>
    <mergeCell ref="I64:K64"/>
    <mergeCell ref="I65:K65"/>
    <mergeCell ref="J68:N68"/>
    <mergeCell ref="J69:N69"/>
    <mergeCell ref="J70:N70"/>
    <mergeCell ref="J71:N71"/>
    <mergeCell ref="I32:K32"/>
    <mergeCell ref="I33:K33"/>
    <mergeCell ref="J4:N4"/>
    <mergeCell ref="J5:N5"/>
    <mergeCell ref="J6:N6"/>
    <mergeCell ref="J7:N7"/>
    <mergeCell ref="I16:K16"/>
    <mergeCell ref="I17:K17"/>
    <mergeCell ref="J20:N20"/>
    <mergeCell ref="J21:N21"/>
    <mergeCell ref="J22:N22"/>
    <mergeCell ref="J23:N23"/>
    <mergeCell ref="A81:C81"/>
    <mergeCell ref="B52:F52"/>
    <mergeCell ref="B53:F53"/>
    <mergeCell ref="B54:F54"/>
    <mergeCell ref="B55:F55"/>
    <mergeCell ref="A64:C64"/>
    <mergeCell ref="A65:C65"/>
    <mergeCell ref="B68:F68"/>
    <mergeCell ref="B69:F69"/>
    <mergeCell ref="B70:F70"/>
    <mergeCell ref="B71:F71"/>
    <mergeCell ref="A80:C80"/>
    <mergeCell ref="B37:F37"/>
    <mergeCell ref="B38:F38"/>
    <mergeCell ref="B39:F39"/>
    <mergeCell ref="A48:C48"/>
    <mergeCell ref="A49:C49"/>
    <mergeCell ref="B23:F23"/>
    <mergeCell ref="A32:C32"/>
    <mergeCell ref="A33:C33"/>
    <mergeCell ref="B36:F36"/>
    <mergeCell ref="A17:C17"/>
    <mergeCell ref="B20:F20"/>
    <mergeCell ref="B21:F21"/>
    <mergeCell ref="B22:F22"/>
    <mergeCell ref="B4:F4"/>
    <mergeCell ref="B5:F5"/>
    <mergeCell ref="B6:F6"/>
    <mergeCell ref="B7:F7"/>
    <mergeCell ref="A16:C16"/>
  </mergeCells>
  <hyperlinks>
    <hyperlink ref="C1:D1" location="'Travel Worksheet'!A100" display="click here for travel cost basis resources" xr:uid="{C7578DD5-396C-423B-9234-29FB55411B5E}"/>
    <hyperlink ref="A96" r:id="rId1" xr:uid="{62D00895-D050-47C9-82A3-49B3F3B045B0}"/>
    <hyperlink ref="A99" r:id="rId2" xr:uid="{39FE784E-EF0E-4C0D-89F5-345E19DB556E}"/>
    <hyperlink ref="A100" r:id="rId3" xr:uid="{2199D347-E66A-4181-92E2-714B1167E631}"/>
    <hyperlink ref="A101" r:id="rId4" display="Rental Car Rates (UA Employees)" xr:uid="{666737C2-56C7-4D3F-BC8E-4440C4253EB0}"/>
    <hyperlink ref="A98" r:id="rId5" display="Foreign Per Diem and Lodging Rates (U.S. Dept. of State)" xr:uid="{5A52703A-2361-4832-9FF3-FB047C19E15B}"/>
    <hyperlink ref="A94" r:id="rId6" display="Airfare (U.S. General Services Administration)" xr:uid="{CE96369F-7E5F-487F-B17F-58D7313B70B7}"/>
    <hyperlink ref="A95" r:id="rId7" xr:uid="{37A8DEBF-EBA0-4EC2-9E69-E7427D84838A}"/>
    <hyperlink ref="A102" r:id="rId8" display="Personal Vehicle (UA Employees)" xr:uid="{D6675CC6-5EA4-4522-8F0C-1A54EFE2226B}"/>
    <hyperlink ref="A97" r:id="rId9" xr:uid="{DEB5AD51-5013-4766-9D11-8A4979CB89FC}"/>
    <hyperlink ref="A107" r:id="rId10" display="UAz Travel Policy" xr:uid="{7FE851BE-74F6-4325-A6ED-33870514B3F0}"/>
    <hyperlink ref="A106" r:id="rId11" xr:uid="{649ACDB4-2BF3-4641-8601-F4BA27DEE90A}"/>
    <hyperlink ref="A108" r:id="rId12" xr:uid="{FDCC73A3-8137-436E-A747-0223E1205FC6}"/>
    <hyperlink ref="A109" r:id="rId13" xr:uid="{42239216-0D09-493F-8AC8-7E1C238D5FDB}"/>
    <hyperlink ref="A110" r:id="rId14" xr:uid="{64AD5C80-8ABC-4A88-BFB9-6008786A5BD1}"/>
    <hyperlink ref="F1" location="'Travel Worksheet'!A112" display="Is it Travel? Click here for tips." xr:uid="{ED039847-7E87-47EA-878A-3EBD81062827}"/>
    <hyperlink ref="D110" location="'Travel Worksheet'!A1" display="back to top" xr:uid="{02D53F56-AF5D-4622-9A93-7F0AE3226C7D}"/>
    <hyperlink ref="D120" location="'Travel Worksheet'!A1" display="back to top" xr:uid="{8C38AD38-A981-4036-AA62-E90178308724}"/>
    <hyperlink ref="D102" location="'Travel Worksheet'!A1" display="back to top" xr:uid="{3693B858-8AC6-4C9B-83D2-5F3C0DA18FA0}"/>
    <hyperlink ref="C1" location="'Travel Worksheet'!A102" display="click here for travel cost basis resources" xr:uid="{75C3FB8A-5FA3-4741-AE12-868E64FB5190}"/>
    <hyperlink ref="A103" r:id="rId15" location="/department/7" xr:uid="{411F2965-FD3E-4519-8ABB-7268E8E9B42A}"/>
  </hyperlinks>
  <pageMargins left="0.7" right="0.7" top="0.75" bottom="0.75" header="0.3" footer="0.3"/>
  <pageSetup orientation="portrait"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60"/>
  <sheetViews>
    <sheetView workbookViewId="0">
      <selection activeCell="S7" sqref="S7"/>
    </sheetView>
  </sheetViews>
  <sheetFormatPr defaultColWidth="8.7109375" defaultRowHeight="12.75"/>
  <cols>
    <col min="1" max="1" width="19.85546875" bestFit="1" customWidth="1"/>
    <col min="2" max="7" width="10.7109375" customWidth="1"/>
    <col min="8" max="8" width="18.5703125" bestFit="1" customWidth="1"/>
    <col min="9" max="9" width="8" customWidth="1"/>
    <col min="11" max="11" width="15.85546875" bestFit="1" customWidth="1"/>
  </cols>
  <sheetData>
    <row r="1" spans="1:19" ht="21">
      <c r="A1" s="18" t="s">
        <v>217</v>
      </c>
      <c r="B1" s="25"/>
      <c r="C1" s="25"/>
      <c r="D1" s="25"/>
      <c r="E1" s="25"/>
      <c r="F1" s="25"/>
      <c r="G1" s="25"/>
      <c r="H1" s="25"/>
      <c r="I1" s="25"/>
      <c r="K1" s="18" t="s">
        <v>85</v>
      </c>
    </row>
    <row r="2" spans="1:19" ht="12.75" customHeight="1">
      <c r="A2" s="18"/>
      <c r="B2" s="25"/>
      <c r="C2" s="25"/>
      <c r="D2" s="25"/>
      <c r="E2" s="25"/>
      <c r="F2" s="25"/>
      <c r="G2" s="25"/>
      <c r="H2" s="25"/>
      <c r="I2" s="25"/>
    </row>
    <row r="3" spans="1:19" ht="12.75" customHeight="1">
      <c r="A3" s="73"/>
      <c r="B3" s="25"/>
      <c r="C3" s="25"/>
      <c r="D3" s="25"/>
      <c r="E3" s="25"/>
      <c r="F3" s="25"/>
      <c r="G3" s="25"/>
      <c r="H3" s="25"/>
      <c r="I3" s="25"/>
    </row>
    <row r="4" spans="1:19" ht="38.25" customHeight="1">
      <c r="A4" s="283" t="s">
        <v>218</v>
      </c>
      <c r="B4" s="283"/>
      <c r="C4" s="283"/>
      <c r="D4" s="283"/>
      <c r="E4" s="283"/>
      <c r="F4" s="283"/>
      <c r="G4" s="283"/>
      <c r="H4" s="283"/>
      <c r="I4" s="283"/>
      <c r="K4" s="26" t="s">
        <v>86</v>
      </c>
      <c r="L4" s="57">
        <v>0</v>
      </c>
      <c r="M4" s="57">
        <v>1</v>
      </c>
      <c r="N4" s="57">
        <v>2</v>
      </c>
      <c r="O4" s="57">
        <v>3</v>
      </c>
      <c r="P4" s="57">
        <v>4</v>
      </c>
      <c r="Q4" s="57">
        <v>5</v>
      </c>
      <c r="R4" s="57">
        <v>6</v>
      </c>
      <c r="S4" s="57">
        <v>7</v>
      </c>
    </row>
    <row r="5" spans="1:19" ht="12.75" customHeight="1">
      <c r="A5" s="252" t="s">
        <v>219</v>
      </c>
      <c r="B5" s="249"/>
      <c r="C5" s="5"/>
      <c r="D5" s="5"/>
      <c r="E5" s="5"/>
      <c r="F5" s="5"/>
      <c r="G5" s="5"/>
      <c r="H5" s="5"/>
      <c r="I5" s="5"/>
      <c r="K5" s="1" t="s">
        <v>87</v>
      </c>
      <c r="L5" s="11">
        <v>62232</v>
      </c>
      <c r="M5" s="11">
        <v>62652</v>
      </c>
      <c r="N5" s="11">
        <v>63120</v>
      </c>
      <c r="O5" s="11">
        <v>65640</v>
      </c>
      <c r="P5" s="11">
        <v>67824</v>
      </c>
      <c r="Q5" s="11">
        <v>70344</v>
      </c>
      <c r="R5" s="11">
        <v>72960</v>
      </c>
      <c r="S5" s="11">
        <v>75564</v>
      </c>
    </row>
    <row r="6" spans="1:19" ht="12.75" customHeight="1">
      <c r="A6" s="253" t="s">
        <v>220</v>
      </c>
      <c r="B6" s="253" t="s">
        <v>221</v>
      </c>
      <c r="C6" s="255" t="s">
        <v>222</v>
      </c>
      <c r="D6" s="253" t="s">
        <v>223</v>
      </c>
      <c r="E6" s="253" t="s">
        <v>224</v>
      </c>
      <c r="F6" s="253" t="s">
        <v>225</v>
      </c>
      <c r="G6" s="253" t="s">
        <v>226</v>
      </c>
      <c r="H6" s="256"/>
      <c r="I6" s="257" t="s">
        <v>227</v>
      </c>
      <c r="K6" s="1"/>
    </row>
    <row r="7" spans="1:19" ht="12.75" customHeight="1">
      <c r="A7" s="254" t="s">
        <v>228</v>
      </c>
      <c r="B7" s="250">
        <f>G7*0.25</f>
        <v>11500</v>
      </c>
      <c r="C7" s="250">
        <f>G7*0.33</f>
        <v>15180</v>
      </c>
      <c r="D7" s="250">
        <f>G7*0.5</f>
        <v>23000</v>
      </c>
      <c r="E7" s="250">
        <f>G7*0.66</f>
        <v>30360</v>
      </c>
      <c r="F7" s="250">
        <f>G7*0.75</f>
        <v>34500</v>
      </c>
      <c r="G7" s="251">
        <v>46000</v>
      </c>
      <c r="H7" s="256" t="s">
        <v>229</v>
      </c>
      <c r="I7" s="258">
        <f>G7/1600</f>
        <v>28.75</v>
      </c>
      <c r="K7" s="1" t="s">
        <v>88</v>
      </c>
      <c r="L7" s="11">
        <f t="shared" ref="L7:S7" si="0">L5/12</f>
        <v>5186</v>
      </c>
      <c r="M7" s="11">
        <f t="shared" si="0"/>
        <v>5221</v>
      </c>
      <c r="N7" s="11">
        <f>N5/12</f>
        <v>5260</v>
      </c>
      <c r="O7" s="11">
        <f t="shared" si="0"/>
        <v>5470</v>
      </c>
      <c r="P7" s="11">
        <f t="shared" si="0"/>
        <v>5652</v>
      </c>
      <c r="Q7" s="11">
        <f t="shared" si="0"/>
        <v>5862</v>
      </c>
      <c r="R7" s="11">
        <f t="shared" si="0"/>
        <v>6080</v>
      </c>
      <c r="S7" s="11">
        <f t="shared" si="0"/>
        <v>6297</v>
      </c>
    </row>
    <row r="8" spans="1:19" ht="12.75" customHeight="1">
      <c r="A8" s="254" t="s">
        <v>230</v>
      </c>
      <c r="B8" s="250">
        <f>G8*0.25</f>
        <v>11750</v>
      </c>
      <c r="C8" s="250">
        <f>G8*0.33</f>
        <v>15510</v>
      </c>
      <c r="D8" s="250">
        <f>G8*0.5</f>
        <v>23500</v>
      </c>
      <c r="E8" s="250">
        <f>G8*0.66</f>
        <v>31020</v>
      </c>
      <c r="F8" s="250">
        <f>G8*0.75</f>
        <v>35250</v>
      </c>
      <c r="G8" s="251">
        <v>47000</v>
      </c>
      <c r="H8" s="256" t="s">
        <v>231</v>
      </c>
      <c r="I8" s="258">
        <f>G8/1600</f>
        <v>29.375</v>
      </c>
      <c r="K8" s="1"/>
      <c r="L8" s="11"/>
    </row>
    <row r="9" spans="1:19" ht="12.75" customHeight="1">
      <c r="A9" s="5"/>
      <c r="B9" s="5"/>
      <c r="C9" s="5"/>
      <c r="D9" s="5"/>
      <c r="E9" s="5"/>
      <c r="F9" s="5"/>
      <c r="G9" s="5"/>
      <c r="H9" s="5"/>
      <c r="I9" s="5"/>
      <c r="K9" s="244" t="s">
        <v>246</v>
      </c>
      <c r="L9" s="15" t="s">
        <v>245</v>
      </c>
    </row>
    <row r="10" spans="1:19" ht="12.75" customHeight="1">
      <c r="A10" s="5"/>
      <c r="B10" s="5"/>
      <c r="C10" s="5"/>
      <c r="D10" s="5"/>
      <c r="E10" s="5"/>
      <c r="F10" s="5"/>
      <c r="G10" s="5"/>
      <c r="H10" s="5"/>
      <c r="I10" s="5"/>
    </row>
    <row r="11" spans="1:19" ht="12.75" customHeight="1">
      <c r="A11" s="252" t="s">
        <v>232</v>
      </c>
      <c r="B11" s="261">
        <f>0.25/0.5</f>
        <v>0.5</v>
      </c>
      <c r="C11" s="256">
        <f>0.33/0.5</f>
        <v>0.66</v>
      </c>
      <c r="D11" s="256">
        <f>0.5/0.5</f>
        <v>1</v>
      </c>
      <c r="E11" s="256">
        <f>0.66/0.5</f>
        <v>1.32</v>
      </c>
      <c r="F11" s="256">
        <f>0.75/0.5</f>
        <v>1.5</v>
      </c>
      <c r="G11" s="256"/>
      <c r="H11" s="256" t="s">
        <v>235</v>
      </c>
      <c r="I11" s="5"/>
    </row>
    <row r="12" spans="1:19">
      <c r="A12" s="253" t="s">
        <v>220</v>
      </c>
      <c r="B12" s="253" t="s">
        <v>221</v>
      </c>
      <c r="C12" s="255" t="s">
        <v>222</v>
      </c>
      <c r="D12" s="253" t="s">
        <v>234</v>
      </c>
      <c r="E12" s="253" t="s">
        <v>224</v>
      </c>
      <c r="F12" s="253" t="s">
        <v>225</v>
      </c>
      <c r="G12" s="253" t="s">
        <v>226</v>
      </c>
      <c r="H12" s="5"/>
      <c r="I12" s="5"/>
    </row>
    <row r="13" spans="1:19">
      <c r="A13" s="254" t="s">
        <v>228</v>
      </c>
      <c r="B13" s="251">
        <f>(G13*0.25)/2</f>
        <v>5750</v>
      </c>
      <c r="C13" s="251">
        <f>(G13*0.33)/2</f>
        <v>7590</v>
      </c>
      <c r="D13" s="251">
        <f>(G13*0.5)/2</f>
        <v>11500</v>
      </c>
      <c r="E13" s="251">
        <f>(G13*0.66)/2</f>
        <v>15180</v>
      </c>
      <c r="F13" s="251">
        <f>(G13*0.75)/2</f>
        <v>17250</v>
      </c>
      <c r="G13" s="250">
        <f>G7</f>
        <v>46000</v>
      </c>
      <c r="H13" s="256" t="s">
        <v>229</v>
      </c>
      <c r="I13" s="256"/>
    </row>
    <row r="14" spans="1:19">
      <c r="A14" s="254" t="s">
        <v>230</v>
      </c>
      <c r="B14" s="251">
        <f>(G14*0.25)/2</f>
        <v>5875</v>
      </c>
      <c r="C14" s="251">
        <f>(G14*0.33)/2</f>
        <v>7755</v>
      </c>
      <c r="D14" s="251">
        <f>(G14*0.5)/2</f>
        <v>11750</v>
      </c>
      <c r="E14" s="251">
        <f>(G14*0.66)/2</f>
        <v>15510</v>
      </c>
      <c r="F14" s="251">
        <f>(G14*0.75)/2</f>
        <v>17625</v>
      </c>
      <c r="G14" s="250">
        <f>G8</f>
        <v>47000</v>
      </c>
      <c r="H14" s="256" t="s">
        <v>231</v>
      </c>
      <c r="I14" s="256"/>
    </row>
    <row r="15" spans="1:19">
      <c r="A15" s="5"/>
      <c r="B15" s="5"/>
      <c r="C15" s="5"/>
      <c r="D15" s="5"/>
      <c r="E15" s="5"/>
      <c r="F15" s="5"/>
      <c r="G15" s="5"/>
      <c r="H15" s="5"/>
      <c r="I15" s="5"/>
    </row>
    <row r="16" spans="1:19">
      <c r="A16" s="5"/>
      <c r="B16" s="5"/>
      <c r="C16" s="5"/>
      <c r="D16" s="5"/>
      <c r="E16" s="5"/>
      <c r="F16" s="5"/>
      <c r="G16" s="5"/>
      <c r="H16" s="5"/>
      <c r="I16" s="5"/>
    </row>
    <row r="17" spans="1:9" ht="15.75">
      <c r="A17" s="284" t="s">
        <v>233</v>
      </c>
      <c r="B17" s="284"/>
      <c r="C17" s="284"/>
      <c r="D17" s="284"/>
      <c r="E17" s="284"/>
      <c r="F17" s="284"/>
      <c r="G17" s="284"/>
      <c r="H17" s="284"/>
      <c r="I17" s="284"/>
    </row>
    <row r="18" spans="1:9">
      <c r="A18" s="252" t="s">
        <v>219</v>
      </c>
      <c r="B18" s="249"/>
      <c r="C18" s="5"/>
      <c r="D18" s="5"/>
      <c r="E18" s="5"/>
      <c r="F18" s="5"/>
      <c r="G18" s="5"/>
      <c r="H18" s="5"/>
      <c r="I18" s="5"/>
    </row>
    <row r="19" spans="1:9">
      <c r="A19" s="253" t="s">
        <v>220</v>
      </c>
      <c r="B19" s="253" t="s">
        <v>221</v>
      </c>
      <c r="C19" s="255" t="s">
        <v>222</v>
      </c>
      <c r="D19" s="253" t="s">
        <v>223</v>
      </c>
      <c r="E19" s="253" t="s">
        <v>224</v>
      </c>
      <c r="F19" s="253" t="s">
        <v>225</v>
      </c>
      <c r="G19" s="253" t="s">
        <v>226</v>
      </c>
      <c r="H19" s="256"/>
      <c r="I19" s="257" t="s">
        <v>227</v>
      </c>
    </row>
    <row r="20" spans="1:9" ht="15" customHeight="1">
      <c r="A20" s="254" t="s">
        <v>228</v>
      </c>
      <c r="B20" s="250">
        <f>G20*0.25</f>
        <v>11200</v>
      </c>
      <c r="C20" s="250">
        <f>G20*0.33</f>
        <v>14784</v>
      </c>
      <c r="D20" s="250">
        <f>G20*0.5</f>
        <v>22400</v>
      </c>
      <c r="E20" s="250">
        <f>G20*0.66</f>
        <v>29568</v>
      </c>
      <c r="F20" s="250">
        <f>G20*0.75</f>
        <v>33600</v>
      </c>
      <c r="G20" s="251">
        <v>44800</v>
      </c>
      <c r="H20" s="256" t="s">
        <v>229</v>
      </c>
      <c r="I20" s="258">
        <f>G20/1600</f>
        <v>28</v>
      </c>
    </row>
    <row r="21" spans="1:9" ht="15" customHeight="1">
      <c r="A21" s="254" t="s">
        <v>230</v>
      </c>
      <c r="B21" s="250">
        <f>G21*0.25</f>
        <v>11450</v>
      </c>
      <c r="C21" s="250">
        <f>G21*0.33</f>
        <v>15114</v>
      </c>
      <c r="D21" s="250">
        <f>G21*0.5</f>
        <v>22900</v>
      </c>
      <c r="E21" s="250">
        <f>G21*0.66</f>
        <v>30228</v>
      </c>
      <c r="F21" s="250">
        <f>G21*0.75</f>
        <v>34350</v>
      </c>
      <c r="G21" s="251">
        <v>45800</v>
      </c>
      <c r="H21" s="256" t="s">
        <v>231</v>
      </c>
      <c r="I21" s="258">
        <f>G21/1600</f>
        <v>28.625</v>
      </c>
    </row>
    <row r="22" spans="1:9" ht="12.75" customHeight="1">
      <c r="A22" s="5"/>
      <c r="B22" s="5"/>
      <c r="C22" s="5"/>
      <c r="D22" s="5"/>
      <c r="E22" s="5"/>
      <c r="F22" s="5"/>
      <c r="G22" s="5"/>
      <c r="H22" s="5"/>
      <c r="I22" s="5"/>
    </row>
    <row r="23" spans="1:9">
      <c r="A23" s="5"/>
      <c r="B23" s="5"/>
      <c r="C23" s="5"/>
      <c r="D23" s="5"/>
      <c r="E23" s="5"/>
      <c r="F23" s="5"/>
      <c r="G23" s="5"/>
      <c r="H23" s="5"/>
      <c r="I23" s="5"/>
    </row>
    <row r="24" spans="1:9">
      <c r="A24" s="252" t="s">
        <v>232</v>
      </c>
      <c r="B24" s="261">
        <f>0.25/0.5</f>
        <v>0.5</v>
      </c>
      <c r="C24" s="256">
        <f>0.33/0.5</f>
        <v>0.66</v>
      </c>
      <c r="D24" s="256">
        <f>0.5/0.5</f>
        <v>1</v>
      </c>
      <c r="E24" s="256">
        <f>0.66/0.5</f>
        <v>1.32</v>
      </c>
      <c r="F24" s="256">
        <f>0.75/0.5</f>
        <v>1.5</v>
      </c>
      <c r="G24" s="256"/>
      <c r="H24" s="256" t="s">
        <v>235</v>
      </c>
      <c r="I24" s="5"/>
    </row>
    <row r="25" spans="1:9">
      <c r="A25" s="253" t="s">
        <v>220</v>
      </c>
      <c r="B25" s="253" t="s">
        <v>221</v>
      </c>
      <c r="C25" s="255" t="s">
        <v>222</v>
      </c>
      <c r="D25" s="253" t="s">
        <v>223</v>
      </c>
      <c r="E25" s="253" t="s">
        <v>224</v>
      </c>
      <c r="F25" s="253" t="s">
        <v>225</v>
      </c>
      <c r="G25" s="253" t="s">
        <v>226</v>
      </c>
      <c r="H25" s="5"/>
      <c r="I25" s="5"/>
    </row>
    <row r="26" spans="1:9">
      <c r="A26" s="254" t="s">
        <v>228</v>
      </c>
      <c r="B26" s="251">
        <f>(G26*0.25)/2</f>
        <v>5600</v>
      </c>
      <c r="C26" s="251">
        <f>(G26*0.33)/2</f>
        <v>7392</v>
      </c>
      <c r="D26" s="251">
        <f>(G26*0.5)/2</f>
        <v>11200</v>
      </c>
      <c r="E26" s="251">
        <f>(G26*0.66)/2</f>
        <v>14784</v>
      </c>
      <c r="F26" s="251">
        <f>(G26*0.75)/2</f>
        <v>16800</v>
      </c>
      <c r="G26" s="250">
        <f>G20</f>
        <v>44800</v>
      </c>
      <c r="H26" s="256" t="s">
        <v>229</v>
      </c>
      <c r="I26" s="256"/>
    </row>
    <row r="27" spans="1:9">
      <c r="A27" s="254" t="s">
        <v>230</v>
      </c>
      <c r="B27" s="251">
        <f>(G27*0.25)/2</f>
        <v>5725</v>
      </c>
      <c r="C27" s="251">
        <f>(G27*0.33)/2</f>
        <v>7557</v>
      </c>
      <c r="D27" s="251">
        <f>(G27*0.5)/2</f>
        <v>11450</v>
      </c>
      <c r="E27" s="251">
        <f>(G27*0.66)/2</f>
        <v>15114</v>
      </c>
      <c r="F27" s="251">
        <f>(G27*0.75)/2</f>
        <v>17175</v>
      </c>
      <c r="G27" s="250">
        <f>G21</f>
        <v>45800</v>
      </c>
      <c r="H27" s="256" t="s">
        <v>231</v>
      </c>
      <c r="I27" s="256"/>
    </row>
    <row r="28" spans="1:9">
      <c r="A28" s="256"/>
      <c r="B28" s="259"/>
      <c r="C28" s="259"/>
      <c r="D28" s="259"/>
      <c r="E28" s="259"/>
      <c r="F28" s="259"/>
      <c r="G28" s="260"/>
      <c r="H28" s="256"/>
      <c r="I28" s="256"/>
    </row>
    <row r="29" spans="1:9">
      <c r="A29" s="27"/>
      <c r="B29" s="28"/>
      <c r="C29" s="29"/>
      <c r="D29" s="29"/>
      <c r="E29" s="72"/>
      <c r="F29" s="72"/>
      <c r="G29" s="30"/>
      <c r="H29" s="28"/>
      <c r="I29" s="28"/>
    </row>
    <row r="30" spans="1:9" ht="15">
      <c r="A30" s="31" t="s">
        <v>62</v>
      </c>
      <c r="B30" s="32" t="s">
        <v>63</v>
      </c>
      <c r="C30" s="60" t="s">
        <v>99</v>
      </c>
      <c r="D30" s="60" t="s">
        <v>97</v>
      </c>
      <c r="E30" s="25"/>
      <c r="F30" s="25"/>
      <c r="G30" s="25"/>
      <c r="H30" s="25"/>
      <c r="I30" s="25"/>
    </row>
    <row r="31" spans="1:9">
      <c r="A31" s="25" t="s">
        <v>64</v>
      </c>
      <c r="B31" s="33">
        <v>456</v>
      </c>
      <c r="C31" s="64">
        <f>(B31/$B$31)*1</f>
        <v>1</v>
      </c>
      <c r="D31" s="62">
        <f>C31*3</f>
        <v>3</v>
      </c>
      <c r="E31" s="34"/>
      <c r="F31" s="25"/>
      <c r="G31" s="25"/>
      <c r="H31" s="25"/>
      <c r="I31" s="25"/>
    </row>
    <row r="32" spans="1:9">
      <c r="A32" s="27" t="s">
        <v>236</v>
      </c>
      <c r="B32" s="60">
        <f>35*12</f>
        <v>420</v>
      </c>
      <c r="C32" s="65">
        <f>(B32/$B$31)*1</f>
        <v>0.92105263157894735</v>
      </c>
      <c r="D32" s="63">
        <f t="shared" ref="D32:D35" si="1">C32*3</f>
        <v>2.763157894736842</v>
      </c>
      <c r="E32" s="61" t="s">
        <v>98</v>
      </c>
      <c r="F32" s="25"/>
      <c r="G32" s="25"/>
      <c r="H32" s="25"/>
      <c r="I32" s="25"/>
    </row>
    <row r="33" spans="1:9">
      <c r="A33" s="25" t="s">
        <v>65</v>
      </c>
      <c r="B33" s="33">
        <f>B31*3/4</f>
        <v>342</v>
      </c>
      <c r="C33" s="64">
        <f t="shared" ref="C33:C35" si="2">(B33/$B$31)*1</f>
        <v>0.75</v>
      </c>
      <c r="D33" s="62">
        <f t="shared" si="1"/>
        <v>2.25</v>
      </c>
      <c r="E33" s="25"/>
      <c r="F33" s="25"/>
      <c r="G33" s="25"/>
      <c r="H33" s="25"/>
      <c r="I33" s="25"/>
    </row>
    <row r="34" spans="1:9">
      <c r="A34" s="25" t="s">
        <v>66</v>
      </c>
      <c r="B34" s="33">
        <f>B31/2</f>
        <v>228</v>
      </c>
      <c r="C34" s="64">
        <f t="shared" si="2"/>
        <v>0.5</v>
      </c>
      <c r="D34" s="62">
        <f t="shared" si="1"/>
        <v>1.5</v>
      </c>
      <c r="E34" s="25"/>
      <c r="F34" s="25"/>
      <c r="G34" s="25"/>
      <c r="H34" s="25"/>
      <c r="I34" s="25"/>
    </row>
    <row r="35" spans="1:9" ht="12.75" customHeight="1">
      <c r="A35" s="25" t="s">
        <v>67</v>
      </c>
      <c r="B35" s="33">
        <f>B31/4</f>
        <v>114</v>
      </c>
      <c r="C35" s="64">
        <f t="shared" si="2"/>
        <v>0.25</v>
      </c>
      <c r="D35" s="62">
        <f t="shared" si="1"/>
        <v>0.75</v>
      </c>
      <c r="E35" s="25"/>
      <c r="F35" s="25"/>
      <c r="G35" s="25"/>
      <c r="H35" s="25"/>
      <c r="I35" s="25"/>
    </row>
    <row r="36" spans="1:9">
      <c r="A36" s="25"/>
      <c r="B36" s="25"/>
      <c r="C36" s="64"/>
      <c r="D36" s="62"/>
      <c r="E36" s="25"/>
      <c r="F36" s="25"/>
      <c r="G36" s="35"/>
      <c r="H36" s="35"/>
      <c r="I36" s="25"/>
    </row>
    <row r="37" spans="1:9" ht="12.75" customHeight="1">
      <c r="A37" s="36" t="s">
        <v>68</v>
      </c>
      <c r="B37" s="35"/>
      <c r="C37" s="25"/>
      <c r="D37" s="25"/>
      <c r="E37" s="25"/>
      <c r="F37" s="25"/>
      <c r="G37" s="35"/>
      <c r="H37" s="25"/>
      <c r="I37" s="25"/>
    </row>
    <row r="38" spans="1:9">
      <c r="A38" s="37"/>
      <c r="B38" s="35"/>
      <c r="C38" s="25"/>
      <c r="D38" s="25"/>
      <c r="E38" s="25"/>
      <c r="F38" s="25"/>
      <c r="G38" s="35"/>
      <c r="H38" s="25"/>
      <c r="I38" s="25"/>
    </row>
    <row r="39" spans="1:9">
      <c r="A39" s="38" t="s">
        <v>69</v>
      </c>
      <c r="B39" s="25"/>
      <c r="C39" s="25"/>
      <c r="D39" s="25"/>
      <c r="E39" s="25"/>
      <c r="F39" s="25"/>
      <c r="G39" s="25"/>
      <c r="H39" s="25"/>
      <c r="I39" s="25"/>
    </row>
    <row r="40" spans="1:9">
      <c r="A40" s="38" t="s">
        <v>70</v>
      </c>
      <c r="B40" s="25"/>
      <c r="C40" s="25"/>
      <c r="D40" s="25"/>
      <c r="E40" s="25"/>
      <c r="F40" s="25"/>
      <c r="G40" s="25"/>
      <c r="H40" s="25"/>
      <c r="I40" s="25"/>
    </row>
    <row r="41" spans="1:9">
      <c r="A41" s="38" t="s">
        <v>71</v>
      </c>
      <c r="B41" s="25"/>
      <c r="C41" s="25"/>
      <c r="D41" s="25"/>
      <c r="E41" s="25"/>
      <c r="F41" s="25"/>
      <c r="G41" s="25"/>
      <c r="H41" s="25"/>
      <c r="I41" s="25"/>
    </row>
    <row r="42" spans="1:9">
      <c r="A42" s="10"/>
      <c r="C42" s="9"/>
      <c r="E42" s="2"/>
    </row>
    <row r="43" spans="1:9" ht="21">
      <c r="A43" s="18" t="s">
        <v>72</v>
      </c>
    </row>
    <row r="45" spans="1:9">
      <c r="A45" s="19" t="s">
        <v>73</v>
      </c>
      <c r="B45" s="8" t="s">
        <v>240</v>
      </c>
      <c r="C45" s="281" t="s">
        <v>241</v>
      </c>
      <c r="D45" s="282"/>
      <c r="E45" s="20"/>
      <c r="F45" s="20"/>
      <c r="G45" s="20"/>
      <c r="H45" s="20"/>
      <c r="I45" s="20"/>
    </row>
    <row r="46" spans="1:9">
      <c r="A46" s="5" t="s">
        <v>74</v>
      </c>
      <c r="B46" s="6">
        <v>7590</v>
      </c>
      <c r="C46" s="21" t="s">
        <v>75</v>
      </c>
      <c r="D46" s="21"/>
    </row>
    <row r="47" spans="1:9">
      <c r="A47" s="5" t="s">
        <v>76</v>
      </c>
      <c r="B47" s="6">
        <f>B46</f>
        <v>7590</v>
      </c>
      <c r="C47" s="11" t="s">
        <v>77</v>
      </c>
    </row>
    <row r="48" spans="1:9">
      <c r="A48" s="1" t="s">
        <v>78</v>
      </c>
      <c r="B48" s="22">
        <f>B46+B47</f>
        <v>15180</v>
      </c>
      <c r="C48" s="11"/>
    </row>
    <row r="49" spans="1:9">
      <c r="A49" s="173"/>
      <c r="B49" s="174"/>
      <c r="C49" s="11"/>
    </row>
    <row r="50" spans="1:9">
      <c r="C50" s="11"/>
      <c r="E50" s="20"/>
      <c r="F50" s="20"/>
      <c r="G50" s="20"/>
      <c r="H50" s="20"/>
      <c r="I50" s="20"/>
    </row>
    <row r="51" spans="1:9">
      <c r="A51" s="19" t="s">
        <v>79</v>
      </c>
      <c r="B51" s="8" t="s">
        <v>240</v>
      </c>
      <c r="C51" s="281" t="s">
        <v>241</v>
      </c>
      <c r="D51" s="282"/>
    </row>
    <row r="52" spans="1:9">
      <c r="A52" s="5" t="s">
        <v>74</v>
      </c>
      <c r="B52" s="3">
        <f>B46*0.5</f>
        <v>3795</v>
      </c>
      <c r="C52" s="21" t="s">
        <v>75</v>
      </c>
      <c r="D52" s="21"/>
    </row>
    <row r="53" spans="1:9">
      <c r="A53" s="5" t="s">
        <v>76</v>
      </c>
      <c r="B53" s="3">
        <f>B47*0.5</f>
        <v>3795</v>
      </c>
      <c r="C53" s="11" t="s">
        <v>77</v>
      </c>
    </row>
    <row r="54" spans="1:9">
      <c r="A54" s="1" t="s">
        <v>78</v>
      </c>
      <c r="B54" s="12">
        <f>B52+B53</f>
        <v>7590</v>
      </c>
      <c r="C54" s="11"/>
    </row>
    <row r="55" spans="1:9">
      <c r="A55" s="173"/>
      <c r="B55" s="174"/>
    </row>
    <row r="57" spans="1:9">
      <c r="A57" s="1" t="s">
        <v>80</v>
      </c>
    </row>
    <row r="58" spans="1:9">
      <c r="A58" s="5" t="s">
        <v>81</v>
      </c>
    </row>
    <row r="59" spans="1:9">
      <c r="A59" s="5" t="s">
        <v>82</v>
      </c>
    </row>
    <row r="60" spans="1:9">
      <c r="A60" s="5" t="s">
        <v>83</v>
      </c>
    </row>
  </sheetData>
  <mergeCells count="4">
    <mergeCell ref="C45:D45"/>
    <mergeCell ref="C51:D51"/>
    <mergeCell ref="A4:I4"/>
    <mergeCell ref="A17:I17"/>
  </mergeCells>
  <phoneticPr fontId="6" type="noConversion"/>
  <hyperlinks>
    <hyperlink ref="K9" r:id="rId1" xr:uid="{53407E0F-0F33-49B6-BDD7-5203D57BE13D}"/>
  </hyperlinks>
  <pageMargins left="0.75" right="0.75" top="1" bottom="1" header="0.5" footer="0.5"/>
  <pageSetup scale="89"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CA9FC-223E-4BC4-A4F1-5D7A41C7BDE7}">
  <dimension ref="A1:K28"/>
  <sheetViews>
    <sheetView workbookViewId="0">
      <selection activeCell="A11" sqref="A11"/>
    </sheetView>
  </sheetViews>
  <sheetFormatPr defaultRowHeight="12.75"/>
  <cols>
    <col min="1" max="1" width="18.140625" style="13" customWidth="1"/>
    <col min="2" max="2" width="50.140625" customWidth="1"/>
    <col min="11" max="11" width="9.140625" customWidth="1"/>
  </cols>
  <sheetData>
    <row r="1" spans="1:2">
      <c r="A1" s="4" t="s">
        <v>111</v>
      </c>
      <c r="B1" s="59" t="s">
        <v>112</v>
      </c>
    </row>
    <row r="3" spans="1:2">
      <c r="A3" s="13">
        <v>45750</v>
      </c>
      <c r="B3" s="5" t="s">
        <v>237</v>
      </c>
    </row>
    <row r="4" spans="1:2">
      <c r="B4" t="s">
        <v>238</v>
      </c>
    </row>
    <row r="6" spans="1:2">
      <c r="A6" s="13">
        <v>45765</v>
      </c>
      <c r="B6" t="s">
        <v>216</v>
      </c>
    </row>
    <row r="8" spans="1:2">
      <c r="A8" s="13">
        <v>45772</v>
      </c>
      <c r="B8" t="s">
        <v>243</v>
      </c>
    </row>
    <row r="10" spans="1:2">
      <c r="A10" s="13">
        <v>45796</v>
      </c>
      <c r="B10" t="s">
        <v>215</v>
      </c>
    </row>
    <row r="22" spans="3:11">
      <c r="K22" t="s">
        <v>244</v>
      </c>
    </row>
    <row r="27" spans="3:11">
      <c r="C27" t="s">
        <v>110</v>
      </c>
    </row>
    <row r="28" spans="3:11">
      <c r="K28" s="24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Budget Template</vt:lpstr>
      <vt:lpstr>Salary Effort Calculator</vt:lpstr>
      <vt:lpstr>Travel Worksheet</vt:lpstr>
      <vt:lpstr>Grad &amp; PD Pay &amp; Tuition Rates</vt:lpstr>
      <vt:lpstr>Ver. updates</vt:lpstr>
    </vt:vector>
  </TitlesOfParts>
  <Manager/>
  <Company>Department of Geosciences - UofA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Galindo</dc:creator>
  <cp:keywords/>
  <dc:description/>
  <cp:lastModifiedBy>Gill, Erin M - (emgill)</cp:lastModifiedBy>
  <cp:revision/>
  <dcterms:created xsi:type="dcterms:W3CDTF">2006-08-22T16:07:21Z</dcterms:created>
  <dcterms:modified xsi:type="dcterms:W3CDTF">2025-05-19T19:26:51Z</dcterms:modified>
  <cp:category/>
  <cp:contentStatus/>
</cp:coreProperties>
</file>